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ashota\Desktop\"/>
    </mc:Choice>
  </mc:AlternateContent>
  <xr:revisionPtr revIDLastSave="0" documentId="8_{25D4D704-4D69-4780-AE26-DA3F4E29B316}" xr6:coauthVersionLast="47" xr6:coauthVersionMax="47" xr10:uidLastSave="{00000000-0000-0000-0000-000000000000}"/>
  <workbookProtection workbookAlgorithmName="SHA-512" workbookHashValue="gc34FGggw3Ir8zQVSgaZChUqrVvVKYZwhSXpduqtPUD6nQuIaEe42JJKFmE/OmtpkzYp1ZfCj82eR88ZFlGbkQ==" workbookSaltValue="MvI2n84VClkXRpVOZBZk3g==" workbookSpinCount="100000" lockStructure="1"/>
  <bookViews>
    <workbookView xWindow="-28920" yWindow="-120" windowWidth="29040" windowHeight="15840" xr2:uid="{00000000-000D-0000-FFFF-FFFF00000000}"/>
  </bookViews>
  <sheets>
    <sheet name="Design Converter" sheetId="1" r:id="rId1"/>
    <sheet name="Variable_Management" sheetId="2" state="hidden" r:id="rId2"/>
    <sheet name="Eff_vs_IOUT" sheetId="4" state="hidden" r:id="rId3"/>
    <sheet name="Loop_Modeling" sheetId="5" state="hidden" r:id="rId4"/>
    <sheet name="Constants" sheetId="3" state="hidden" r:id="rId5"/>
    <sheet name="Plot_Management_Eff" sheetId="6" state="hidden" r:id="rId6"/>
    <sheet name="Plot_Management_Sch" sheetId="7" state="hidden" r:id="rId7"/>
    <sheet name="Lists" sheetId="8" state="hidden" r:id="rId8"/>
    <sheet name="Licenses" sheetId="10" r:id="rId9"/>
    <sheet name="Sheet1" sheetId="9" state="hidden" r:id="rId10"/>
  </sheets>
  <externalReferences>
    <externalReference r:id="rId11"/>
  </externalReferences>
  <definedNames>
    <definedName name="Acs">Constants!$B$30</definedName>
    <definedName name="Adc">Loop_Modeling!$B$35</definedName>
    <definedName name="Adc_ea">Loop_Modeling!$B$61</definedName>
    <definedName name="ADC_VINmin">Variable_Management!$B$189</definedName>
    <definedName name="CCOMP">Variable_Management!$B$230</definedName>
    <definedName name="CComp_calc">Variable_Management!$B$229</definedName>
    <definedName name="CHF">Variable_Management!$B$232</definedName>
    <definedName name="Comp_calc">Variable_Management!$B$229</definedName>
    <definedName name="CondMode">OFFSET(Lists!$B$9,0,0,COUNTIF(Lists!$B$9:$B$11,"?CM*"),1)</definedName>
    <definedName name="Cout">Variable_Management!$B$155</definedName>
    <definedName name="Cout_min">Variable_Management!$B$153</definedName>
    <definedName name="D_limit_max">Constants!$B$18</definedName>
    <definedName name="D_limit_min">Constants!$B$16</definedName>
    <definedName name="D_limit_nom">Constants!$B$17</definedName>
    <definedName name="Dc_CCM_VIN_max">Variable_Management!$B$50</definedName>
    <definedName name="Dc_CCM_VIN_min">Variable_Management!$B$42</definedName>
    <definedName name="Dc_CCM_VIN_nom">Variable_Management!$B$46</definedName>
    <definedName name="Dc_DCM_VIN_nom">Variable_Management!$B$62</definedName>
    <definedName name="Dc_max_IC">Variable_Management!$B$21</definedName>
    <definedName name="Dc_max_ideal">Variable_Management!$A$20</definedName>
    <definedName name="Dc_Mode">Variable_Management!$B$36</definedName>
    <definedName name="Dc_Mode_Loop">Loop_Modeling!$B$14</definedName>
    <definedName name="Dc_rip_max">Variable_Management!$B$79</definedName>
    <definedName name="Dc_VIN_max">Variable_Management!$B$31</definedName>
    <definedName name="Dc_VIN_min">Variable_Management!$B$23</definedName>
    <definedName name="Dc_VIN_nom">Variable_Management!$B$27</definedName>
    <definedName name="display_SCH">INDIRECT(Plot_Management_Sch!$A$1)</definedName>
    <definedName name="EFF_est">Variable_Management!$B$17</definedName>
    <definedName name="Eff_vs_IOUT">Plot_Management_Eff!$C$3</definedName>
    <definedName name="fcross">Variable_Management!$B$213</definedName>
    <definedName name="fcross_est">Variable_Management!$B$212</definedName>
    <definedName name="FIR_BYPASSED">'[1]Digital Filter'!$T$84</definedName>
    <definedName name="fp_ea_est">Variable_Management!$B$223</definedName>
    <definedName name="Fsw">Variable_Management!$B$10</definedName>
    <definedName name="fz_ea_est">Variable_Management!$B$221</definedName>
    <definedName name="fz_rhp">Variable_Management!$B$198</definedName>
    <definedName name="Gcomp">Constants!$B$29</definedName>
    <definedName name="Gea_mid_calc">Variable_Management!$B$217</definedName>
    <definedName name="gfs">Variable_Management!$B$249</definedName>
    <definedName name="gm_ea">Constants!$B$34</definedName>
    <definedName name="Gplant_fc_dB">Loop_Modeling!$AD$7</definedName>
    <definedName name="IIN_33">Variable_Management!$B$81</definedName>
    <definedName name="IL_avg_VIN_max">Variable_Management!$B$33</definedName>
    <definedName name="IL_avg_VIN_min">Variable_Management!$B$25</definedName>
    <definedName name="IL_avg_VIN_nom">Variable_Management!$B$29</definedName>
    <definedName name="IL_pk">Variable_Management!$B$142</definedName>
    <definedName name="IL_pk_max">Variable_Management!$B$143</definedName>
    <definedName name="ILp_VINmax">Variable_Management!$B$119</definedName>
    <definedName name="ILp_VINmin">Variable_Management!$B$113</definedName>
    <definedName name="ILp_VINnom">Variable_Management!$B$116</definedName>
    <definedName name="ILrip">Variable_Management!$B$71</definedName>
    <definedName name="ILrip_VINmax">Variable_Management!$B$118</definedName>
    <definedName name="ILrip_VINmin">Variable_Management!$B$112</definedName>
    <definedName name="ILrip_VINnom">Variable_Management!$B$115</definedName>
    <definedName name="IOUT">Variable_Management!$B$14</definedName>
    <definedName name="Ipk_margin">Variable_Management!$B$122</definedName>
    <definedName name="Ipk_selected">Variable_Management!$B$123</definedName>
    <definedName name="IQ">Constants!$B$48</definedName>
    <definedName name="IRMS_COUT">Variable_Management!$B$154</definedName>
    <definedName name="Isl">Constants!$B$25</definedName>
    <definedName name="Iss">Constants!$B$37</definedName>
    <definedName name="Kslope">Variable_Management!$B$130</definedName>
    <definedName name="L_DCM">Variable_Management!$B$89</definedName>
    <definedName name="Lm">Variable_Management!$B$84</definedName>
    <definedName name="Lopt">Variable_Management!$B$76</definedName>
    <definedName name="Lopt_2">Variable_Management!$B$82</definedName>
    <definedName name="POUT">Variable_Management!$B$16</definedName>
    <definedName name="_xlnm.Print_Area" localSheetId="0">'Design Converter'!$A$1:$Z$100</definedName>
    <definedName name="Q">Loop_Modeling!$B$49</definedName>
    <definedName name="Q_VINmin">Variable_Management!$B$206</definedName>
    <definedName name="Qg_tot">Variable_Management!$B$244</definedName>
    <definedName name="Qgd">Variable_Management!$B$245</definedName>
    <definedName name="Qgs">Variable_Management!$B$246</definedName>
    <definedName name="Qrr">Variable_Management!$B$239</definedName>
    <definedName name="R_cs">Variable_Management!$B$138</definedName>
    <definedName name="R_sl">Variable_Management!$B$139</definedName>
    <definedName name="RCOMP">Variable_Management!$B$228</definedName>
    <definedName name="Rcomp_calc">Variable_Management!$B$227</definedName>
    <definedName name="Rcs_max">Variable_Management!$B$127</definedName>
    <definedName name="Rcs_w_sl">Variable_Management!$B$131</definedName>
    <definedName name="Rcs_wo_sl">Variable_Management!$B$128</definedName>
    <definedName name="Rdcr">Variable_Management!$B$85</definedName>
    <definedName name="RDS_on">Variable_Management!$B$243</definedName>
    <definedName name="Resr">Variable_Management!$B$156</definedName>
    <definedName name="RFBB">Variable_Management!$B$184</definedName>
    <definedName name="RFBB_calc">Variable_Management!$B$183</definedName>
    <definedName name="RFBT">Variable_Management!$B$182</definedName>
    <definedName name="Rgate">Variable_Management!$B$247</definedName>
    <definedName name="ROUT">Variable_Management!$B$15</definedName>
    <definedName name="Rsl_int">Constants!$B$26</definedName>
    <definedName name="Rsl_max">Constants!$B$28</definedName>
    <definedName name="RT">Variable_Management!$B$11</definedName>
    <definedName name="Ruvlo_bottom_calc">Variable_Management!$B$173</definedName>
    <definedName name="Ruvlo_top">Variable_Management!$B$172</definedName>
    <definedName name="Ruvlo_top_calc">Variable_Management!$B$171</definedName>
    <definedName name="SCH_1">Plot_Management_Sch!$B$2</definedName>
    <definedName name="SCH_2">Plot_Management_Sch!$B$4</definedName>
    <definedName name="Se_VINmin">Variable_Management!$B$202</definedName>
    <definedName name="Sn_VINmin">Variable_Management!$B$203</definedName>
    <definedName name="tf_sw">Variable_Management!$B$256</definedName>
    <definedName name="tr_sw">Variable_Management!$B$255</definedName>
    <definedName name="tss">Variable_Management!$B$162</definedName>
    <definedName name="UV_fall">Constants!$B$41</definedName>
    <definedName name="UV_I_hyst">Constants!$B$42</definedName>
    <definedName name="UV_rise">Constants!$B$40</definedName>
    <definedName name="Vcc">Constants!$B$45</definedName>
    <definedName name="Vcl">Constants!$B$27</definedName>
    <definedName name="Vd_rect">Variable_Management!$B$238</definedName>
    <definedName name="VIN_33">Variable_Management!$B$80</definedName>
    <definedName name="VIN_max">Variable_Management!$B$9</definedName>
    <definedName name="VIN_min">Variable_Management!$B$7</definedName>
    <definedName name="VIN_nom">Variable_Management!$B$8</definedName>
    <definedName name="VIN_op_max">Constants!$B$52</definedName>
    <definedName name="VIN_op_max_56">Constants!$B$53</definedName>
    <definedName name="VIN_op_min">Constants!$B$51</definedName>
    <definedName name="VIN_var">Variable_Management!$B$8</definedName>
    <definedName name="VOUT">Variable_Management!$B$13</definedName>
    <definedName name="Vout_rip_sel">Variable_Management!$B$152</definedName>
    <definedName name="Vref">Constants!$B$33</definedName>
    <definedName name="Vth">Variable_Management!$B$250</definedName>
    <definedName name="Vuvlo_off">Variable_Management!$B$167</definedName>
    <definedName name="Vuvlo_on">Variable_Management!$B$166</definedName>
    <definedName name="wp_hf">Loop_Modeling!$B$50</definedName>
    <definedName name="wp_lf">Loop_Modeling!$B$36</definedName>
    <definedName name="wp_lf_VINmin">Variable_Management!$B$191</definedName>
    <definedName name="wp0_ea">Loop_Modeling!$B$63</definedName>
    <definedName name="wp1_ea">Loop_Modeling!$B$64</definedName>
    <definedName name="wsl">Loop_Modeling!$B$48</definedName>
    <definedName name="wsl_VINmin">Variable_Management!$B$205</definedName>
    <definedName name="wz_ea">Loop_Modeling!$B$62</definedName>
    <definedName name="wz_esr">Loop_Modeling!$B$42</definedName>
    <definedName name="wz_esr_VINmin">Variable_Management!$B$194</definedName>
    <definedName name="wz_rhp">Loop_Modeling!$B$39</definedName>
    <definedName name="wz_RHP_VINmin">Variable_Management!$B$197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B36" i="2" l="1"/>
  <c r="M126" i="2"/>
  <c r="B2" i="6"/>
  <c r="B48" i="3"/>
  <c r="B251" i="2"/>
  <c r="B250" i="2"/>
  <c r="B249" i="2"/>
  <c r="B247" i="2"/>
  <c r="B246" i="2"/>
  <c r="B245" i="2"/>
  <c r="B244" i="2"/>
  <c r="B243" i="2"/>
  <c r="B239" i="2"/>
  <c r="B238" i="2"/>
  <c r="B172" i="2"/>
  <c r="B42" i="3"/>
  <c r="B170" i="2" s="1"/>
  <c r="B169" i="2"/>
  <c r="B168" i="2"/>
  <c r="B167" i="2"/>
  <c r="B166" i="2"/>
  <c r="B162" i="2"/>
  <c r="B37" i="3"/>
  <c r="B160" i="2" s="1"/>
  <c r="B213" i="2"/>
  <c r="B34"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O8" i="5"/>
  <c r="B29" i="3"/>
  <c r="B31" i="5" s="1"/>
  <c r="B182" i="2"/>
  <c r="B55" i="5" s="1"/>
  <c r="B184" i="2"/>
  <c r="B56" i="5" s="1"/>
  <c r="B230" i="2"/>
  <c r="B232" i="2"/>
  <c r="B59" i="5" s="1"/>
  <c r="B228" i="2"/>
  <c r="B28" i="5"/>
  <c r="B156" i="2"/>
  <c r="B155" i="2"/>
  <c r="B152" i="2"/>
  <c r="B144" i="2"/>
  <c r="B139" i="2"/>
  <c r="B27" i="5" s="1"/>
  <c r="B138" i="2"/>
  <c r="B26" i="5" s="1"/>
  <c r="B27" i="3"/>
  <c r="B25" i="3"/>
  <c r="B122" i="2"/>
  <c r="B85" i="2"/>
  <c r="B84" i="2"/>
  <c r="B22" i="3"/>
  <c r="B71" i="2"/>
  <c r="B10" i="2"/>
  <c r="AP87" i="4" s="1"/>
  <c r="B14" i="3"/>
  <c r="B12" i="3"/>
  <c r="B10" i="3"/>
  <c r="B17" i="2"/>
  <c r="B14" i="2"/>
  <c r="H85" i="1" s="1"/>
  <c r="B13" i="2"/>
  <c r="B9" i="2"/>
  <c r="B5" i="8" s="1"/>
  <c r="B8" i="2"/>
  <c r="T121" i="4" s="1"/>
  <c r="B7" i="2"/>
  <c r="B21" i="5"/>
  <c r="B10" i="5" l="1"/>
  <c r="B89" i="2"/>
  <c r="B194" i="2"/>
  <c r="B195" i="2" s="1"/>
  <c r="B63" i="5"/>
  <c r="AG446" i="5" s="1"/>
  <c r="AI446" i="5" s="1"/>
  <c r="T130" i="4"/>
  <c r="AQ130" i="4" s="1"/>
  <c r="T118" i="4"/>
  <c r="AQ118" i="4" s="1"/>
  <c r="T29" i="4"/>
  <c r="AQ29" i="4" s="1"/>
  <c r="T31" i="4"/>
  <c r="AQ31" i="4" s="1"/>
  <c r="T63" i="4"/>
  <c r="T138" i="4"/>
  <c r="AQ138" i="4" s="1"/>
  <c r="T126" i="4"/>
  <c r="AQ126" i="4" s="1"/>
  <c r="T49" i="4"/>
  <c r="AQ49" i="4" s="1"/>
  <c r="T19" i="4"/>
  <c r="AQ19" i="4" s="1"/>
  <c r="T74" i="4"/>
  <c r="AQ74" i="4" s="1"/>
  <c r="T54" i="4"/>
  <c r="AQ54" i="4" s="1"/>
  <c r="T28" i="4"/>
  <c r="AQ28" i="4" s="1"/>
  <c r="T132" i="4"/>
  <c r="AQ132" i="4" s="1"/>
  <c r="T13" i="4"/>
  <c r="AQ13" i="4" s="1"/>
  <c r="T144" i="4"/>
  <c r="AQ144" i="4" s="1"/>
  <c r="T124" i="4"/>
  <c r="AQ124" i="4" s="1"/>
  <c r="T151" i="4"/>
  <c r="AQ151" i="4" s="1"/>
  <c r="T88" i="4"/>
  <c r="AQ88" i="4" s="1"/>
  <c r="T76" i="4"/>
  <c r="AQ76" i="4" s="1"/>
  <c r="R84" i="4"/>
  <c r="B36" i="5"/>
  <c r="Q96" i="5" s="1"/>
  <c r="T33" i="4"/>
  <c r="AQ33" i="4" s="1"/>
  <c r="B35" i="5"/>
  <c r="T79" i="4"/>
  <c r="AG151" i="5"/>
  <c r="AG85" i="5"/>
  <c r="AI85" i="5" s="1"/>
  <c r="AG206" i="5"/>
  <c r="AH206" i="5" s="1"/>
  <c r="AI206" i="5"/>
  <c r="AG414" i="5"/>
  <c r="AI414" i="5" s="1"/>
  <c r="AG393" i="5"/>
  <c r="AI393" i="5" s="1"/>
  <c r="AG433" i="5"/>
  <c r="AG231" i="5"/>
  <c r="AH231" i="5" s="1"/>
  <c r="AG271" i="5"/>
  <c r="AH271" i="5" s="1"/>
  <c r="AG282" i="5"/>
  <c r="AI282" i="5" s="1"/>
  <c r="AG295" i="5"/>
  <c r="AI295" i="5" s="1"/>
  <c r="AG236" i="5"/>
  <c r="AI236" i="5" s="1"/>
  <c r="AG207" i="5"/>
  <c r="AH207" i="5" s="1"/>
  <c r="AG172" i="5"/>
  <c r="AH172" i="5" s="1"/>
  <c r="AG125" i="5"/>
  <c r="AH125" i="5" s="1"/>
  <c r="AG137" i="5"/>
  <c r="AH137" i="5" s="1"/>
  <c r="AG132" i="5"/>
  <c r="AH132" i="5" s="1"/>
  <c r="AG74" i="5"/>
  <c r="AH74" i="5" s="1"/>
  <c r="AG68" i="5"/>
  <c r="AH68" i="5" s="1"/>
  <c r="AG39" i="5"/>
  <c r="AH39" i="5" s="1"/>
  <c r="AG537" i="5"/>
  <c r="AG555" i="5"/>
  <c r="AG204" i="5"/>
  <c r="AH204" i="5" s="1"/>
  <c r="AG468" i="5"/>
  <c r="AG442" i="5"/>
  <c r="AI442" i="5" s="1"/>
  <c r="AG481" i="5"/>
  <c r="AI481" i="5" s="1"/>
  <c r="AG411" i="5"/>
  <c r="AI411" i="5" s="1"/>
  <c r="AG391" i="5"/>
  <c r="AG429" i="5"/>
  <c r="AG174" i="5"/>
  <c r="AG269" i="5"/>
  <c r="AG279" i="5"/>
  <c r="AG293" i="5"/>
  <c r="AH293" i="5" s="1"/>
  <c r="AG230" i="5"/>
  <c r="AI230" i="5" s="1"/>
  <c r="AG247" i="5"/>
  <c r="AH247" i="5" s="1"/>
  <c r="AG167" i="5"/>
  <c r="AG183" i="5"/>
  <c r="AG122" i="5"/>
  <c r="AI122" i="5" s="1"/>
  <c r="AG115" i="5"/>
  <c r="AI115" i="5" s="1"/>
  <c r="AG90" i="5"/>
  <c r="AH90" i="5" s="1"/>
  <c r="AG62" i="5"/>
  <c r="AG46" i="5"/>
  <c r="AG511" i="5"/>
  <c r="AH511" i="5" s="1"/>
  <c r="AG484" i="5"/>
  <c r="AH484" i="5" s="1"/>
  <c r="AG559" i="5"/>
  <c r="AG453" i="5"/>
  <c r="AH453" i="5" s="1"/>
  <c r="AG435" i="5"/>
  <c r="AI435" i="5" s="1"/>
  <c r="AG469" i="5"/>
  <c r="AI469" i="5" s="1"/>
  <c r="AG385" i="5"/>
  <c r="AG367" i="5"/>
  <c r="AG415" i="5"/>
  <c r="AG349" i="5"/>
  <c r="AG253" i="5"/>
  <c r="AG266" i="5"/>
  <c r="AI266" i="5" s="1"/>
  <c r="AG277" i="5"/>
  <c r="AI277" i="5" s="1"/>
  <c r="AG225" i="5"/>
  <c r="AI225" i="5" s="1"/>
  <c r="AG227" i="5"/>
  <c r="AG155" i="5"/>
  <c r="AG179" i="5"/>
  <c r="AG106" i="5"/>
  <c r="AG114" i="5"/>
  <c r="AG86" i="5"/>
  <c r="AG60" i="5"/>
  <c r="AG33" i="5"/>
  <c r="AG467" i="5"/>
  <c r="AG465" i="5"/>
  <c r="AG550" i="5"/>
  <c r="AH550" i="5" s="1"/>
  <c r="AG423" i="5"/>
  <c r="AG357" i="5"/>
  <c r="AG445" i="5"/>
  <c r="AG373" i="5"/>
  <c r="AI373" i="5" s="1"/>
  <c r="AG362" i="5"/>
  <c r="AG401" i="5"/>
  <c r="AG343" i="5"/>
  <c r="AG196" i="5"/>
  <c r="AH196" i="5" s="1"/>
  <c r="AG246" i="5"/>
  <c r="AI246" i="5" s="1"/>
  <c r="AG265" i="5"/>
  <c r="AH265" i="5" s="1"/>
  <c r="AG213" i="5"/>
  <c r="AG215" i="5"/>
  <c r="AI215" i="5" s="1"/>
  <c r="AG111" i="5"/>
  <c r="AI111" i="5" s="1"/>
  <c r="AG171" i="5"/>
  <c r="AG156" i="5"/>
  <c r="AG108" i="5"/>
  <c r="AG76" i="5"/>
  <c r="AI76" i="5" s="1"/>
  <c r="AG61" i="5"/>
  <c r="AH61" i="5" s="1"/>
  <c r="AG116" i="5"/>
  <c r="AG100" i="5"/>
  <c r="AG413" i="5"/>
  <c r="AH413" i="5" s="1"/>
  <c r="AG539" i="5"/>
  <c r="AG514" i="5"/>
  <c r="AI514" i="5" s="1"/>
  <c r="AG515" i="5"/>
  <c r="AG518" i="5"/>
  <c r="AH518" i="5" s="1"/>
  <c r="AG427" i="5"/>
  <c r="AH427" i="5" s="1"/>
  <c r="AG339" i="5"/>
  <c r="AI339" i="5" s="1"/>
  <c r="AG298" i="5"/>
  <c r="AI298" i="5" s="1"/>
  <c r="AG374" i="5"/>
  <c r="AI374" i="5" s="1"/>
  <c r="AG323" i="5"/>
  <c r="AI323" i="5" s="1"/>
  <c r="AG311" i="5"/>
  <c r="AI311" i="5" s="1"/>
  <c r="AG203" i="5"/>
  <c r="AH203" i="5" s="1"/>
  <c r="AG254" i="5"/>
  <c r="AG188" i="5"/>
  <c r="AG198" i="5"/>
  <c r="AG170" i="5"/>
  <c r="AG147" i="5"/>
  <c r="AG124" i="5"/>
  <c r="AH124" i="5" s="1"/>
  <c r="AG107" i="5"/>
  <c r="AG73" i="5"/>
  <c r="AG50" i="5"/>
  <c r="AG83" i="5"/>
  <c r="AI83" i="5" s="1"/>
  <c r="AG75" i="5"/>
  <c r="AH75" i="5" s="1"/>
  <c r="AG67" i="5"/>
  <c r="AH67" i="5" s="1"/>
  <c r="AG35" i="5"/>
  <c r="AH35" i="5" s="1"/>
  <c r="AG27" i="5"/>
  <c r="AG195" i="5"/>
  <c r="AH195" i="5" s="1"/>
  <c r="AG187" i="5"/>
  <c r="AH187" i="5" s="1"/>
  <c r="AG139" i="5"/>
  <c r="AH139" i="5" s="1"/>
  <c r="AG315" i="5"/>
  <c r="AI315" i="5" s="1"/>
  <c r="AG275" i="5"/>
  <c r="AH275" i="5" s="1"/>
  <c r="AG251" i="5"/>
  <c r="AG243" i="5"/>
  <c r="AI243" i="5" s="1"/>
  <c r="AG235" i="5"/>
  <c r="AG395" i="5"/>
  <c r="AG509" i="5"/>
  <c r="AG505" i="5"/>
  <c r="AI505" i="5" s="1"/>
  <c r="AG501" i="5"/>
  <c r="AG508" i="5"/>
  <c r="AH508" i="5" s="1"/>
  <c r="AG371" i="5"/>
  <c r="AG317" i="5"/>
  <c r="AI317" i="5" s="1"/>
  <c r="AG268" i="5"/>
  <c r="AI268" i="5" s="1"/>
  <c r="AG366" i="5"/>
  <c r="AG307" i="5"/>
  <c r="AH307" i="5" s="1"/>
  <c r="AG308" i="5"/>
  <c r="AG322" i="5"/>
  <c r="AI322" i="5" s="1"/>
  <c r="AG249" i="5"/>
  <c r="AH249" i="5" s="1"/>
  <c r="AG242" i="5"/>
  <c r="AG197" i="5"/>
  <c r="AG163" i="5"/>
  <c r="AH163" i="5" s="1"/>
  <c r="AG123" i="5"/>
  <c r="AG71" i="5"/>
  <c r="AI71" i="5" s="1"/>
  <c r="AG102" i="5"/>
  <c r="AG63" i="5"/>
  <c r="AG49" i="5"/>
  <c r="B58" i="5"/>
  <c r="AG500" i="5"/>
  <c r="AI500" i="5" s="1"/>
  <c r="AG358" i="5"/>
  <c r="AI358" i="5" s="1"/>
  <c r="AG482" i="5"/>
  <c r="AG478" i="5"/>
  <c r="AG490" i="5"/>
  <c r="AG502" i="5"/>
  <c r="AG334" i="5"/>
  <c r="AG407" i="5"/>
  <c r="AI407" i="5" s="1"/>
  <c r="AG180" i="5"/>
  <c r="AH180" i="5" s="1"/>
  <c r="AG310" i="5"/>
  <c r="AG303" i="5"/>
  <c r="AG292" i="5"/>
  <c r="AI292" i="5" s="1"/>
  <c r="AG309" i="5"/>
  <c r="AG228" i="5"/>
  <c r="AG220" i="5"/>
  <c r="AG186" i="5"/>
  <c r="AH186" i="5" s="1"/>
  <c r="AG161" i="5"/>
  <c r="AH161" i="5" s="1"/>
  <c r="AG84" i="5"/>
  <c r="AH84" i="5" s="1"/>
  <c r="AG145" i="5"/>
  <c r="AG98" i="5"/>
  <c r="AG59" i="5"/>
  <c r="AG105" i="5"/>
  <c r="AG57" i="5"/>
  <c r="AG41" i="5"/>
  <c r="AG209" i="5"/>
  <c r="AI209" i="5" s="1"/>
  <c r="AG201" i="5"/>
  <c r="AG193" i="5"/>
  <c r="AG185" i="5"/>
  <c r="AG177" i="5"/>
  <c r="AI177" i="5" s="1"/>
  <c r="AG169" i="5"/>
  <c r="AG297" i="5"/>
  <c r="AI297" i="5" s="1"/>
  <c r="AG289" i="5"/>
  <c r="R62" i="4"/>
  <c r="B15" i="2"/>
  <c r="R143" i="4"/>
  <c r="B16" i="2"/>
  <c r="H15" i="1" s="1"/>
  <c r="B20" i="5"/>
  <c r="R79" i="4"/>
  <c r="R105" i="4"/>
  <c r="R34" i="4"/>
  <c r="B45" i="5"/>
  <c r="B11" i="2"/>
  <c r="H13" i="1" s="1"/>
  <c r="B19" i="3"/>
  <c r="B20" i="3" s="1"/>
  <c r="B21" i="2" s="1"/>
  <c r="H16" i="1" s="1"/>
  <c r="B13" i="5"/>
  <c r="AP56" i="4"/>
  <c r="K21" i="2"/>
  <c r="AP30" i="4"/>
  <c r="AP116" i="4"/>
  <c r="AP115" i="4"/>
  <c r="AP66" i="4"/>
  <c r="AP49" i="4"/>
  <c r="O12" i="4"/>
  <c r="T30" i="4"/>
  <c r="AQ30" i="4" s="1"/>
  <c r="T152" i="4"/>
  <c r="AQ152" i="4" s="1"/>
  <c r="T82" i="4"/>
  <c r="AQ82" i="4" s="1"/>
  <c r="T27" i="4"/>
  <c r="AQ27" i="4" s="1"/>
  <c r="T137" i="4"/>
  <c r="AQ137" i="4" s="1"/>
  <c r="T105" i="4"/>
  <c r="T80" i="4"/>
  <c r="T24" i="4"/>
  <c r="AQ24" i="4" s="1"/>
  <c r="T62" i="4"/>
  <c r="AQ62" i="4" s="1"/>
  <c r="T93" i="4"/>
  <c r="AQ93" i="4" s="1"/>
  <c r="R141" i="4"/>
  <c r="R133" i="4"/>
  <c r="R98" i="4"/>
  <c r="R155" i="4"/>
  <c r="R76" i="4"/>
  <c r="T136" i="4"/>
  <c r="AQ136" i="4" s="1"/>
  <c r="T21" i="4"/>
  <c r="AQ21" i="4" s="1"/>
  <c r="T110" i="4"/>
  <c r="AQ110" i="4" s="1"/>
  <c r="T133" i="4"/>
  <c r="AQ133" i="4" s="1"/>
  <c r="T59" i="4"/>
  <c r="AQ59" i="4" s="1"/>
  <c r="B39" i="5"/>
  <c r="W161" i="5" s="1"/>
  <c r="Y161" i="5" s="1"/>
  <c r="T128" i="4"/>
  <c r="AQ128" i="4" s="1"/>
  <c r="T64" i="4"/>
  <c r="AQ64" i="4" s="1"/>
  <c r="T15" i="4"/>
  <c r="AQ15" i="4" s="1"/>
  <c r="T122" i="4"/>
  <c r="AQ122" i="4" s="1"/>
  <c r="T58" i="4"/>
  <c r="AQ58" i="4" s="1"/>
  <c r="T108" i="4"/>
  <c r="AQ108" i="4" s="1"/>
  <c r="T60" i="4"/>
  <c r="AQ60" i="4" s="1"/>
  <c r="T16" i="4"/>
  <c r="AQ16" i="4" s="1"/>
  <c r="T102" i="4"/>
  <c r="AQ102" i="4" s="1"/>
  <c r="T40" i="4"/>
  <c r="AQ40" i="4" s="1"/>
  <c r="T9" i="4"/>
  <c r="AQ9" i="4" s="1"/>
  <c r="T147" i="4"/>
  <c r="AQ147" i="4" s="1"/>
  <c r="T131" i="4"/>
  <c r="AQ131" i="4" s="1"/>
  <c r="T115" i="4"/>
  <c r="AQ115" i="4" s="1"/>
  <c r="T101" i="4"/>
  <c r="AQ101" i="4" s="1"/>
  <c r="T87" i="4"/>
  <c r="AQ87" i="4" s="1"/>
  <c r="T73" i="4"/>
  <c r="T57" i="4"/>
  <c r="AQ57" i="4" s="1"/>
  <c r="T43" i="4"/>
  <c r="AQ43" i="4" s="1"/>
  <c r="T103" i="4"/>
  <c r="AQ103" i="4" s="1"/>
  <c r="T77" i="4"/>
  <c r="AQ77" i="4" s="1"/>
  <c r="T25" i="4"/>
  <c r="AQ25" i="4" s="1"/>
  <c r="T72" i="4"/>
  <c r="AQ72" i="4" s="1"/>
  <c r="T66" i="4"/>
  <c r="AQ66" i="4" s="1"/>
  <c r="T20" i="4"/>
  <c r="AQ20" i="4" s="1"/>
  <c r="T149" i="4"/>
  <c r="AQ149" i="4" s="1"/>
  <c r="T75" i="4"/>
  <c r="AQ75" i="4" s="1"/>
  <c r="T120" i="4"/>
  <c r="AQ120" i="4" s="1"/>
  <c r="T56" i="4"/>
  <c r="AQ56" i="4" s="1"/>
  <c r="T12" i="4"/>
  <c r="AQ12" i="4" s="1"/>
  <c r="T114" i="4"/>
  <c r="AQ114" i="4" s="1"/>
  <c r="T50" i="4"/>
  <c r="AQ50" i="4" s="1"/>
  <c r="T14" i="4"/>
  <c r="AQ14" i="4" s="1"/>
  <c r="T52" i="4"/>
  <c r="AQ52" i="4" s="1"/>
  <c r="T8" i="4"/>
  <c r="AQ8" i="4" s="1"/>
  <c r="T94" i="4"/>
  <c r="AQ94" i="4" s="1"/>
  <c r="T37" i="4"/>
  <c r="AQ37" i="4" s="1"/>
  <c r="T145" i="4"/>
  <c r="AQ145" i="4" s="1"/>
  <c r="T129" i="4"/>
  <c r="AQ129" i="4" s="1"/>
  <c r="T113" i="4"/>
  <c r="AQ113" i="4" s="1"/>
  <c r="T99" i="4"/>
  <c r="AQ99" i="4" s="1"/>
  <c r="T71" i="4"/>
  <c r="AQ71" i="4" s="1"/>
  <c r="T55" i="4"/>
  <c r="AQ55" i="4" s="1"/>
  <c r="T41" i="4"/>
  <c r="AQ41" i="4" s="1"/>
  <c r="T17" i="4"/>
  <c r="AQ17" i="4" s="1"/>
  <c r="T89" i="4"/>
  <c r="AQ89" i="4" s="1"/>
  <c r="O9" i="4"/>
  <c r="T112" i="4"/>
  <c r="AQ112" i="4" s="1"/>
  <c r="T48" i="4"/>
  <c r="AQ48" i="4" s="1"/>
  <c r="T106" i="4"/>
  <c r="AQ106" i="4" s="1"/>
  <c r="T42" i="4"/>
  <c r="AQ42" i="4" s="1"/>
  <c r="T156" i="4"/>
  <c r="AQ156" i="4" s="1"/>
  <c r="T100" i="4"/>
  <c r="AQ100" i="4" s="1"/>
  <c r="T44" i="4"/>
  <c r="AQ44" i="4" s="1"/>
  <c r="T150" i="4"/>
  <c r="AQ150" i="4" s="1"/>
  <c r="T86" i="4"/>
  <c r="AQ86" i="4" s="1"/>
  <c r="T26" i="4"/>
  <c r="AQ26" i="4" s="1"/>
  <c r="T157" i="4"/>
  <c r="AQ157" i="4" s="1"/>
  <c r="T143" i="4"/>
  <c r="AQ143" i="4" s="1"/>
  <c r="T127" i="4"/>
  <c r="AQ127" i="4" s="1"/>
  <c r="T111" i="4"/>
  <c r="AQ111" i="4" s="1"/>
  <c r="T97" i="4"/>
  <c r="AQ97" i="4" s="1"/>
  <c r="T85" i="4"/>
  <c r="AQ85" i="4" s="1"/>
  <c r="T69" i="4"/>
  <c r="AQ69" i="4" s="1"/>
  <c r="T38" i="4"/>
  <c r="AQ38" i="4" s="1"/>
  <c r="T135" i="4"/>
  <c r="AQ135" i="4" s="1"/>
  <c r="T91" i="4"/>
  <c r="AQ91" i="4" s="1"/>
  <c r="T47" i="4"/>
  <c r="AQ47" i="4" s="1"/>
  <c r="B46" i="5"/>
  <c r="T68" i="4"/>
  <c r="AQ68" i="4" s="1"/>
  <c r="T11" i="4"/>
  <c r="AQ11" i="4" s="1"/>
  <c r="T45" i="4"/>
  <c r="AQ45" i="4" s="1"/>
  <c r="T7" i="4"/>
  <c r="AQ7" i="4" s="1"/>
  <c r="T10" i="4"/>
  <c r="AQ10" i="4" s="1"/>
  <c r="T104" i="4"/>
  <c r="AQ104" i="4" s="1"/>
  <c r="T36" i="4"/>
  <c r="AQ36" i="4" s="1"/>
  <c r="T154" i="4"/>
  <c r="AQ154" i="4" s="1"/>
  <c r="T98" i="4"/>
  <c r="AQ98" i="4" s="1"/>
  <c r="T39" i="4"/>
  <c r="AQ39" i="4" s="1"/>
  <c r="T148" i="4"/>
  <c r="AQ148" i="4" s="1"/>
  <c r="T92" i="4"/>
  <c r="AQ92" i="4" s="1"/>
  <c r="T142" i="4"/>
  <c r="AQ142" i="4" s="1"/>
  <c r="T78" i="4"/>
  <c r="AQ78" i="4" s="1"/>
  <c r="T23" i="4"/>
  <c r="AQ23" i="4" s="1"/>
  <c r="T155" i="4"/>
  <c r="AQ155" i="4" s="1"/>
  <c r="T141" i="4"/>
  <c r="T125" i="4"/>
  <c r="AQ125" i="4" s="1"/>
  <c r="T109" i="4"/>
  <c r="AQ109" i="4" s="1"/>
  <c r="T95" i="4"/>
  <c r="AQ95" i="4" s="1"/>
  <c r="T83" i="4"/>
  <c r="AQ83" i="4" s="1"/>
  <c r="T67" i="4"/>
  <c r="AQ67" i="4" s="1"/>
  <c r="T53" i="4"/>
  <c r="AQ53" i="4" s="1"/>
  <c r="B11" i="5"/>
  <c r="T119" i="4"/>
  <c r="AQ119" i="4" s="1"/>
  <c r="T61" i="4"/>
  <c r="AQ61" i="4" s="1"/>
  <c r="T18" i="4"/>
  <c r="AQ18" i="4" s="1"/>
  <c r="T116" i="4"/>
  <c r="AQ116" i="4" s="1"/>
  <c r="T46" i="4"/>
  <c r="AQ46" i="4" s="1"/>
  <c r="T117" i="4"/>
  <c r="AQ117" i="4" s="1"/>
  <c r="T22" i="4"/>
  <c r="AQ22" i="4" s="1"/>
  <c r="B17" i="5"/>
  <c r="P15" i="5" s="1"/>
  <c r="T96" i="4"/>
  <c r="AQ96" i="4" s="1"/>
  <c r="T32" i="4"/>
  <c r="AQ32" i="4" s="1"/>
  <c r="T146" i="4"/>
  <c r="AQ146" i="4" s="1"/>
  <c r="T90" i="4"/>
  <c r="AQ90" i="4" s="1"/>
  <c r="T35" i="4"/>
  <c r="AQ35" i="4" s="1"/>
  <c r="T140" i="4"/>
  <c r="AQ140" i="4" s="1"/>
  <c r="T84" i="4"/>
  <c r="AQ84" i="4" s="1"/>
  <c r="T34" i="4"/>
  <c r="AQ34" i="4" s="1"/>
  <c r="T134" i="4"/>
  <c r="T70" i="4"/>
  <c r="AQ70" i="4" s="1"/>
  <c r="T153" i="4"/>
  <c r="AQ153" i="4" s="1"/>
  <c r="T139" i="4"/>
  <c r="AQ139" i="4" s="1"/>
  <c r="T123" i="4"/>
  <c r="AQ123" i="4" s="1"/>
  <c r="T107" i="4"/>
  <c r="AQ107" i="4" s="1"/>
  <c r="T81" i="4"/>
  <c r="AQ81" i="4" s="1"/>
  <c r="T65" i="4"/>
  <c r="AQ65" i="4" s="1"/>
  <c r="T51" i="4"/>
  <c r="AQ51" i="4" s="1"/>
  <c r="L126" i="2"/>
  <c r="K38" i="5"/>
  <c r="B24" i="5"/>
  <c r="AH514" i="5"/>
  <c r="AH295" i="5"/>
  <c r="AI68" i="5"/>
  <c r="AI74" i="5"/>
  <c r="AI207" i="5"/>
  <c r="AI518" i="5"/>
  <c r="AH282" i="5"/>
  <c r="AI132" i="5"/>
  <c r="AI125" i="5"/>
  <c r="AI195" i="5"/>
  <c r="AH311" i="5"/>
  <c r="AG88" i="5"/>
  <c r="AH88" i="5" s="1"/>
  <c r="AG80" i="5"/>
  <c r="AG40" i="5"/>
  <c r="AG32" i="5"/>
  <c r="AI32" i="5" s="1"/>
  <c r="AG208" i="5"/>
  <c r="AG200" i="5"/>
  <c r="AI200" i="5" s="1"/>
  <c r="AG168" i="5"/>
  <c r="AH168" i="5" s="1"/>
  <c r="AG152" i="5"/>
  <c r="AH152" i="5" s="1"/>
  <c r="AG136" i="5"/>
  <c r="AG120" i="5"/>
  <c r="AG288" i="5"/>
  <c r="AG272" i="5"/>
  <c r="AI272" i="5" s="1"/>
  <c r="AG248" i="5"/>
  <c r="AH248" i="5" s="1"/>
  <c r="AG224" i="5"/>
  <c r="AH224" i="5" s="1"/>
  <c r="AG416" i="5"/>
  <c r="AG408" i="5"/>
  <c r="AG400" i="5"/>
  <c r="AG376" i="5"/>
  <c r="AG352" i="5"/>
  <c r="AG344" i="5"/>
  <c r="AG336" i="5"/>
  <c r="AH336" i="5" s="1"/>
  <c r="AG320" i="5"/>
  <c r="AG504" i="5"/>
  <c r="AG480" i="5"/>
  <c r="AG472" i="5"/>
  <c r="AG456" i="5"/>
  <c r="AG440" i="5"/>
  <c r="AG424" i="5"/>
  <c r="AG534" i="5"/>
  <c r="AG526" i="5"/>
  <c r="AI526" i="5" s="1"/>
  <c r="AG546" i="5"/>
  <c r="AI546" i="5" s="1"/>
  <c r="AG538" i="5"/>
  <c r="AG554" i="5"/>
  <c r="AH292" i="5"/>
  <c r="R134" i="4"/>
  <c r="R96" i="4"/>
  <c r="R71" i="4"/>
  <c r="R20" i="4"/>
  <c r="AP109" i="4"/>
  <c r="AP59" i="4"/>
  <c r="AP25" i="4"/>
  <c r="B57" i="5"/>
  <c r="B62" i="5"/>
  <c r="AM272" i="5" s="1"/>
  <c r="R126" i="4"/>
  <c r="R77" i="4"/>
  <c r="R24" i="4"/>
  <c r="R39" i="4"/>
  <c r="AP45" i="4"/>
  <c r="AP104" i="4"/>
  <c r="R91" i="4"/>
  <c r="R69" i="4"/>
  <c r="R148" i="4"/>
  <c r="R21" i="4"/>
  <c r="AP37" i="4"/>
  <c r="AP111" i="4"/>
  <c r="R70" i="4"/>
  <c r="R12" i="4"/>
  <c r="R140" i="4"/>
  <c r="AP128" i="4"/>
  <c r="AP156" i="4"/>
  <c r="B42" i="2"/>
  <c r="B3" i="8"/>
  <c r="AP33" i="4"/>
  <c r="AP58" i="4"/>
  <c r="AP127" i="4"/>
  <c r="AP123" i="4"/>
  <c r="AP148" i="4"/>
  <c r="AP53" i="4"/>
  <c r="AP94" i="4"/>
  <c r="B199" i="2"/>
  <c r="AP81" i="4"/>
  <c r="AP74" i="4"/>
  <c r="AP120" i="4"/>
  <c r="AP20" i="4"/>
  <c r="AP15" i="4"/>
  <c r="AP117" i="4"/>
  <c r="AP142" i="4"/>
  <c r="AP89" i="4"/>
  <c r="AP130" i="4"/>
  <c r="AP11" i="4"/>
  <c r="AP28" i="4"/>
  <c r="AP64" i="4"/>
  <c r="AP133" i="4"/>
  <c r="AP150" i="4"/>
  <c r="AP97" i="4"/>
  <c r="AP138" i="4"/>
  <c r="AP43" i="4"/>
  <c r="AP36" i="4"/>
  <c r="AP88" i="4"/>
  <c r="AP14" i="4"/>
  <c r="AP7" i="4"/>
  <c r="AP153" i="4"/>
  <c r="AP154" i="4"/>
  <c r="AP51" i="4"/>
  <c r="AP92" i="4"/>
  <c r="AP144" i="4"/>
  <c r="AP22" i="4"/>
  <c r="AP32" i="4"/>
  <c r="R10" i="4"/>
  <c r="R135" i="4"/>
  <c r="AP110" i="4"/>
  <c r="AP100" i="4"/>
  <c r="AP26" i="4"/>
  <c r="AP86" i="4"/>
  <c r="AP139" i="4"/>
  <c r="AP10" i="4"/>
  <c r="R19" i="4"/>
  <c r="R30" i="4"/>
  <c r="R100" i="4"/>
  <c r="R14" i="4"/>
  <c r="R95" i="4"/>
  <c r="R9" i="4"/>
  <c r="R93" i="4"/>
  <c r="R157" i="4"/>
  <c r="R86" i="4"/>
  <c r="R150" i="4"/>
  <c r="B191" i="2"/>
  <c r="B192" i="2" s="1"/>
  <c r="B220" i="2" s="1"/>
  <c r="B221" i="2" s="1"/>
  <c r="R23" i="4"/>
  <c r="R44" i="4"/>
  <c r="R108" i="4"/>
  <c r="R38" i="4"/>
  <c r="R103" i="4"/>
  <c r="R18" i="4"/>
  <c r="R101" i="4"/>
  <c r="R22" i="4"/>
  <c r="R94" i="4"/>
  <c r="R8" i="4"/>
  <c r="R27" i="4"/>
  <c r="R52" i="4"/>
  <c r="R116" i="4"/>
  <c r="R47" i="4"/>
  <c r="R111" i="4"/>
  <c r="R45" i="4"/>
  <c r="R109" i="4"/>
  <c r="R40" i="4"/>
  <c r="R102" i="4"/>
  <c r="R35" i="4"/>
  <c r="R68" i="4"/>
  <c r="R132" i="4"/>
  <c r="R63" i="4"/>
  <c r="R127" i="4"/>
  <c r="R61" i="4"/>
  <c r="R125" i="4"/>
  <c r="R54" i="4"/>
  <c r="R118" i="4"/>
  <c r="R7" i="4"/>
  <c r="R37" i="4"/>
  <c r="R73" i="4"/>
  <c r="R137" i="4"/>
  <c r="R66" i="4"/>
  <c r="R130" i="4"/>
  <c r="R64" i="4"/>
  <c r="R128" i="4"/>
  <c r="R59" i="4"/>
  <c r="R123" i="4"/>
  <c r="AG19" i="5"/>
  <c r="AG375" i="5"/>
  <c r="AG503" i="5"/>
  <c r="AH503" i="5" s="1"/>
  <c r="B42" i="5"/>
  <c r="T64" i="5" s="1"/>
  <c r="AG44" i="5"/>
  <c r="AG36" i="5"/>
  <c r="AG28" i="5"/>
  <c r="B183" i="2"/>
  <c r="H61" i="1" s="1"/>
  <c r="AG319" i="5"/>
  <c r="AG403" i="5"/>
  <c r="AI403" i="5" s="1"/>
  <c r="AG347" i="5"/>
  <c r="AI347" i="5" s="1"/>
  <c r="AG507" i="5"/>
  <c r="AH507" i="5" s="1"/>
  <c r="AG483" i="5"/>
  <c r="AI483" i="5" s="1"/>
  <c r="AG459" i="5"/>
  <c r="AI459" i="5" s="1"/>
  <c r="AG443" i="5"/>
  <c r="AI443" i="5" s="1"/>
  <c r="AG519" i="5"/>
  <c r="AI519" i="5" s="1"/>
  <c r="AG529" i="5"/>
  <c r="AI529" i="5" s="1"/>
  <c r="AG549" i="5"/>
  <c r="AI549" i="5" s="1"/>
  <c r="AG409" i="5"/>
  <c r="AI409" i="5" s="1"/>
  <c r="AG377" i="5"/>
  <c r="AI377" i="5" s="1"/>
  <c r="AG361" i="5"/>
  <c r="AG353" i="5"/>
  <c r="AI353" i="5" s="1"/>
  <c r="AG513" i="5"/>
  <c r="AG441" i="5"/>
  <c r="AG425" i="5"/>
  <c r="AG547" i="5"/>
  <c r="B62" i="2"/>
  <c r="B66" i="2"/>
  <c r="Q51" i="1"/>
  <c r="B127" i="2"/>
  <c r="B141" i="2"/>
  <c r="K141" i="2" s="1"/>
  <c r="B254" i="2"/>
  <c r="B256" i="2" s="1"/>
  <c r="B163" i="2"/>
  <c r="H47" i="1" s="1"/>
  <c r="K8" i="2"/>
  <c r="B60" i="2"/>
  <c r="B58" i="2"/>
  <c r="B203" i="2"/>
  <c r="AQ80" i="4"/>
  <c r="AH71" i="5"/>
  <c r="H57" i="1"/>
  <c r="B179" i="2" s="1"/>
  <c r="AG8" i="5"/>
  <c r="AG112" i="5"/>
  <c r="AG104" i="5"/>
  <c r="AG96" i="5"/>
  <c r="AG72" i="5"/>
  <c r="AG64" i="5"/>
  <c r="AG56" i="5"/>
  <c r="AG48" i="5"/>
  <c r="AG24" i="5"/>
  <c r="AG216" i="5"/>
  <c r="AG192" i="5"/>
  <c r="AG184" i="5"/>
  <c r="AG176" i="5"/>
  <c r="AG160" i="5"/>
  <c r="AG144" i="5"/>
  <c r="AG128" i="5"/>
  <c r="AG312" i="5"/>
  <c r="AG304" i="5"/>
  <c r="AG296" i="5"/>
  <c r="AG280" i="5"/>
  <c r="AG264" i="5"/>
  <c r="AG256" i="5"/>
  <c r="AG240" i="5"/>
  <c r="AG232" i="5"/>
  <c r="AG392" i="5"/>
  <c r="AG384" i="5"/>
  <c r="AG368" i="5"/>
  <c r="AG360" i="5"/>
  <c r="AG328" i="5"/>
  <c r="AG512" i="5"/>
  <c r="AG496" i="5"/>
  <c r="AG488" i="5"/>
  <c r="AG464" i="5"/>
  <c r="AG448" i="5"/>
  <c r="AG432" i="5"/>
  <c r="O7" i="5"/>
  <c r="B219" i="2"/>
  <c r="AQ121" i="4"/>
  <c r="AQ105" i="4"/>
  <c r="AI67" i="5"/>
  <c r="AI247" i="5"/>
  <c r="B48" i="2"/>
  <c r="B50" i="2"/>
  <c r="B31" i="2" s="1"/>
  <c r="B12" i="5"/>
  <c r="AP41" i="4"/>
  <c r="AP105" i="4"/>
  <c r="AP18" i="4"/>
  <c r="AP82" i="4"/>
  <c r="AP146" i="4"/>
  <c r="AP143" i="4"/>
  <c r="AP136" i="4"/>
  <c r="AP67" i="4"/>
  <c r="AP131" i="4"/>
  <c r="AP44" i="4"/>
  <c r="AP108" i="4"/>
  <c r="AP47" i="4"/>
  <c r="AP112" i="4"/>
  <c r="AP61" i="4"/>
  <c r="AP125" i="4"/>
  <c r="AP38" i="4"/>
  <c r="AP102" i="4"/>
  <c r="AP23" i="4"/>
  <c r="AP96" i="4"/>
  <c r="B48" i="5"/>
  <c r="B205" i="2"/>
  <c r="AP57" i="4"/>
  <c r="AP121" i="4"/>
  <c r="AP34" i="4"/>
  <c r="AP98" i="4"/>
  <c r="AP31" i="4"/>
  <c r="AP24" i="4"/>
  <c r="AP19" i="4"/>
  <c r="AP83" i="4"/>
  <c r="AP147" i="4"/>
  <c r="AP60" i="4"/>
  <c r="AP124" i="4"/>
  <c r="AP103" i="4"/>
  <c r="AP13" i="4"/>
  <c r="AP77" i="4"/>
  <c r="AP141" i="4"/>
  <c r="AP54" i="4"/>
  <c r="AP118" i="4"/>
  <c r="AP63" i="4"/>
  <c r="AP152" i="4"/>
  <c r="O15" i="4"/>
  <c r="K126" i="2"/>
  <c r="M8" i="4"/>
  <c r="AP65" i="4"/>
  <c r="AP129" i="4"/>
  <c r="AP42" i="4"/>
  <c r="AP106" i="4"/>
  <c r="AP55" i="4"/>
  <c r="AP48" i="4"/>
  <c r="AP27" i="4"/>
  <c r="AP91" i="4"/>
  <c r="AP155" i="4"/>
  <c r="AP68" i="4"/>
  <c r="AP132" i="4"/>
  <c r="AP135" i="4"/>
  <c r="AP21" i="4"/>
  <c r="AP85" i="4"/>
  <c r="AP149" i="4"/>
  <c r="AP62" i="4"/>
  <c r="AP126" i="4"/>
  <c r="AP95" i="4"/>
  <c r="J125" i="2"/>
  <c r="AP9" i="4"/>
  <c r="AP73" i="4"/>
  <c r="AP137" i="4"/>
  <c r="AP50" i="4"/>
  <c r="AP114" i="4"/>
  <c r="AP71" i="4"/>
  <c r="AP72" i="4"/>
  <c r="AP35" i="4"/>
  <c r="AP99" i="4"/>
  <c r="AP12" i="4"/>
  <c r="AP76" i="4"/>
  <c r="AP140" i="4"/>
  <c r="AP8" i="4"/>
  <c r="AP29" i="4"/>
  <c r="AP93" i="4"/>
  <c r="AP157" i="4"/>
  <c r="AP70" i="4"/>
  <c r="AP134" i="4"/>
  <c r="AP119" i="4"/>
  <c r="T73" i="5"/>
  <c r="T308" i="5"/>
  <c r="T65" i="5"/>
  <c r="AG103" i="5"/>
  <c r="AG87" i="5"/>
  <c r="AG79" i="5"/>
  <c r="AG55" i="5"/>
  <c r="AG47" i="5"/>
  <c r="T31" i="5"/>
  <c r="AG31" i="5"/>
  <c r="AG23" i="5"/>
  <c r="AG199" i="5"/>
  <c r="AG175" i="5"/>
  <c r="AG159" i="5"/>
  <c r="AG143" i="5"/>
  <c r="AG135" i="5"/>
  <c r="AM135" i="5"/>
  <c r="AG127" i="5"/>
  <c r="AG219" i="5"/>
  <c r="AG287" i="5"/>
  <c r="AG255" i="5"/>
  <c r="AG239" i="5"/>
  <c r="AG223" i="5"/>
  <c r="AG383" i="5"/>
  <c r="AG359" i="5"/>
  <c r="AG351" i="5"/>
  <c r="AG335" i="5"/>
  <c r="AG327" i="5"/>
  <c r="AG419" i="5"/>
  <c r="AI503" i="5"/>
  <c r="AG495" i="5"/>
  <c r="AG487" i="5"/>
  <c r="AG463" i="5"/>
  <c r="AG455" i="5"/>
  <c r="AG447" i="5"/>
  <c r="AG439" i="5"/>
  <c r="AG533" i="5"/>
  <c r="AM525" i="5"/>
  <c r="AG525" i="5"/>
  <c r="AG545" i="5"/>
  <c r="AG553" i="5"/>
  <c r="AI124" i="5"/>
  <c r="AI186" i="5"/>
  <c r="AI168" i="5"/>
  <c r="AH435" i="5"/>
  <c r="AP151" i="4"/>
  <c r="AP78" i="4"/>
  <c r="AP101" i="4"/>
  <c r="AP40" i="4"/>
  <c r="AP84" i="4"/>
  <c r="AP107" i="4"/>
  <c r="AP80" i="4"/>
  <c r="AP122" i="4"/>
  <c r="AP145" i="4"/>
  <c r="AP17" i="4"/>
  <c r="B39" i="2"/>
  <c r="H17" i="1" s="1"/>
  <c r="B189" i="2"/>
  <c r="P7" i="5" s="1"/>
  <c r="B197" i="2"/>
  <c r="B198" i="2" s="1"/>
  <c r="R25" i="4"/>
  <c r="R41" i="4"/>
  <c r="R49" i="4"/>
  <c r="R81" i="4"/>
  <c r="R113" i="4"/>
  <c r="R145" i="4"/>
  <c r="R42" i="4"/>
  <c r="R74" i="4"/>
  <c r="R106" i="4"/>
  <c r="R138" i="4"/>
  <c r="R32" i="4"/>
  <c r="R72" i="4"/>
  <c r="R104" i="4"/>
  <c r="R136" i="4"/>
  <c r="R26" i="4"/>
  <c r="R67" i="4"/>
  <c r="R99" i="4"/>
  <c r="R131" i="4"/>
  <c r="R13" i="4"/>
  <c r="B44" i="2"/>
  <c r="R29" i="4"/>
  <c r="R28" i="4"/>
  <c r="R57" i="4"/>
  <c r="R89" i="4"/>
  <c r="R121" i="4"/>
  <c r="R153" i="4"/>
  <c r="R50" i="4"/>
  <c r="R82" i="4"/>
  <c r="R114" i="4"/>
  <c r="R146" i="4"/>
  <c r="R48" i="4"/>
  <c r="R80" i="4"/>
  <c r="R112" i="4"/>
  <c r="R144" i="4"/>
  <c r="R43" i="4"/>
  <c r="R75" i="4"/>
  <c r="R107" i="4"/>
  <c r="R139" i="4"/>
  <c r="B52" i="2"/>
  <c r="B33" i="2" s="1"/>
  <c r="R15" i="4"/>
  <c r="R31" i="4"/>
  <c r="R36" i="4"/>
  <c r="R60" i="4"/>
  <c r="R92" i="4"/>
  <c r="R124" i="4"/>
  <c r="R156" i="4"/>
  <c r="R55" i="4"/>
  <c r="R87" i="4"/>
  <c r="R119" i="4"/>
  <c r="R151" i="4"/>
  <c r="R53" i="4"/>
  <c r="R85" i="4"/>
  <c r="R117" i="4"/>
  <c r="R149" i="4"/>
  <c r="R46" i="4"/>
  <c r="R78" i="4"/>
  <c r="R110" i="4"/>
  <c r="R142" i="4"/>
  <c r="B161" i="2"/>
  <c r="H45" i="1" s="1"/>
  <c r="B55" i="2"/>
  <c r="B68" i="2"/>
  <c r="R17" i="4"/>
  <c r="R33" i="4"/>
  <c r="R16" i="4"/>
  <c r="R65" i="4"/>
  <c r="R97" i="4"/>
  <c r="R129" i="4"/>
  <c r="R11" i="4"/>
  <c r="R58" i="4"/>
  <c r="R90" i="4"/>
  <c r="R122" i="4"/>
  <c r="R154" i="4"/>
  <c r="R56" i="4"/>
  <c r="R88" i="4"/>
  <c r="R120" i="4"/>
  <c r="R152" i="4"/>
  <c r="R51" i="4"/>
  <c r="R83" i="4"/>
  <c r="R115" i="4"/>
  <c r="R147" i="4"/>
  <c r="B185" i="2"/>
  <c r="AI367" i="5"/>
  <c r="AH367" i="5"/>
  <c r="J126" i="2"/>
  <c r="B29" i="5"/>
  <c r="B202" i="2"/>
  <c r="AQ79" i="4"/>
  <c r="AQ63" i="4"/>
  <c r="AH85" i="5"/>
  <c r="AP39" i="4"/>
  <c r="AP46" i="4"/>
  <c r="AP69" i="4"/>
  <c r="AP79" i="4"/>
  <c r="AP52" i="4"/>
  <c r="AP75" i="4"/>
  <c r="AP16" i="4"/>
  <c r="AP90" i="4"/>
  <c r="AP113" i="4"/>
  <c r="AI224" i="5"/>
  <c r="AM105" i="5"/>
  <c r="AM332" i="5"/>
  <c r="AM530" i="5"/>
  <c r="AM234" i="5"/>
  <c r="AM508" i="5"/>
  <c r="AM93" i="5"/>
  <c r="AM253" i="5"/>
  <c r="AM348" i="5"/>
  <c r="AM482" i="5"/>
  <c r="AM133" i="5"/>
  <c r="AM258" i="5"/>
  <c r="AM365" i="5"/>
  <c r="AM498" i="5"/>
  <c r="AM486" i="5"/>
  <c r="AM66" i="5"/>
  <c r="AM69" i="5"/>
  <c r="AM189" i="5"/>
  <c r="AM285" i="5"/>
  <c r="AM370" i="5"/>
  <c r="AM362" i="5"/>
  <c r="AM540" i="5"/>
  <c r="AM445" i="5"/>
  <c r="AG38" i="5"/>
  <c r="AG42" i="5"/>
  <c r="AG54" i="5"/>
  <c r="AG65" i="5"/>
  <c r="AG66" i="5"/>
  <c r="AG93" i="5"/>
  <c r="AG121" i="5"/>
  <c r="AG89" i="5"/>
  <c r="AG92" i="5"/>
  <c r="AG130" i="5"/>
  <c r="AG110" i="5"/>
  <c r="AG153" i="5"/>
  <c r="AG165" i="5"/>
  <c r="AG133" i="5"/>
  <c r="AG218" i="5"/>
  <c r="AG164" i="5"/>
  <c r="AG229" i="5"/>
  <c r="AG233" i="5"/>
  <c r="AG273" i="5"/>
  <c r="AG301" i="5"/>
  <c r="AG324" i="5"/>
  <c r="AG250" i="5"/>
  <c r="AG286" i="5"/>
  <c r="AG316" i="5"/>
  <c r="AG237" i="5"/>
  <c r="AG281" i="5"/>
  <c r="AG313" i="5"/>
  <c r="AG345" i="5"/>
  <c r="AG284" i="5"/>
  <c r="AG378" i="5"/>
  <c r="AG436" i="5"/>
  <c r="AG321" i="5"/>
  <c r="AG396" i="5"/>
  <c r="AG417" i="5"/>
  <c r="AG346" i="5"/>
  <c r="AG438" i="5"/>
  <c r="AG510" i="5"/>
  <c r="AG370" i="5"/>
  <c r="AG516" i="5"/>
  <c r="AG474" i="5"/>
  <c r="AG548" i="5"/>
  <c r="AG380" i="5"/>
  <c r="AG492" i="5"/>
  <c r="AG542" i="5"/>
  <c r="AG536" i="5"/>
  <c r="AG426" i="5"/>
  <c r="AG523" i="5"/>
  <c r="AG449" i="5"/>
  <c r="AG544" i="5"/>
  <c r="AG45" i="5"/>
  <c r="AG26" i="5"/>
  <c r="AG94" i="5"/>
  <c r="AG101" i="5"/>
  <c r="AG134" i="5"/>
  <c r="AG158" i="5"/>
  <c r="AG140" i="5"/>
  <c r="AG212" i="5"/>
  <c r="AG252" i="5"/>
  <c r="AG274" i="5"/>
  <c r="AG306" i="5"/>
  <c r="AG332" i="5"/>
  <c r="AG258" i="5"/>
  <c r="AG244" i="5"/>
  <c r="AG285" i="5"/>
  <c r="AG318" i="5"/>
  <c r="AG348" i="5"/>
  <c r="AG290" i="5"/>
  <c r="AG382" i="5"/>
  <c r="AG406" i="5"/>
  <c r="AG437" i="5"/>
  <c r="AG326" i="5"/>
  <c r="AG372" i="5"/>
  <c r="AG405" i="5"/>
  <c r="AG418" i="5"/>
  <c r="AG350" i="5"/>
  <c r="AG485" i="5"/>
  <c r="AG517" i="5"/>
  <c r="AG452" i="5"/>
  <c r="AG477" i="5"/>
  <c r="AG506" i="5"/>
  <c r="AG540" i="5"/>
  <c r="AG428" i="5"/>
  <c r="AG470" i="5"/>
  <c r="AG21" i="5"/>
  <c r="AG20" i="5"/>
  <c r="AG22" i="5"/>
  <c r="AG77" i="5"/>
  <c r="AG126" i="5"/>
  <c r="AG109" i="5"/>
  <c r="AG138" i="5"/>
  <c r="AG173" i="5"/>
  <c r="AG181" i="5"/>
  <c r="AG157" i="5"/>
  <c r="AG189" i="5"/>
  <c r="AG154" i="5"/>
  <c r="AG234" i="5"/>
  <c r="AG238" i="5"/>
  <c r="AG205" i="5"/>
  <c r="AG270" i="5"/>
  <c r="AG354" i="5"/>
  <c r="AG330" i="5"/>
  <c r="AG394" i="5"/>
  <c r="AG420" i="5"/>
  <c r="AG226" i="5"/>
  <c r="AG333" i="5"/>
  <c r="AG381" i="5"/>
  <c r="AG390" i="5"/>
  <c r="AG450" i="5"/>
  <c r="AG493" i="5"/>
  <c r="AG522" i="5"/>
  <c r="AG422" i="5"/>
  <c r="AG458" i="5"/>
  <c r="AG302" i="5"/>
  <c r="AG524" i="5"/>
  <c r="AG551" i="5"/>
  <c r="AG520" i="5"/>
  <c r="AG365" i="5"/>
  <c r="AG556" i="5"/>
  <c r="AG29" i="5"/>
  <c r="AG34" i="5"/>
  <c r="AG69" i="5"/>
  <c r="AG78" i="5"/>
  <c r="AG141" i="5"/>
  <c r="AG142" i="5"/>
  <c r="AG118" i="5"/>
  <c r="AG182" i="5"/>
  <c r="AG190" i="5"/>
  <c r="AG221" i="5"/>
  <c r="AG314" i="5"/>
  <c r="AG210" i="5"/>
  <c r="AG276" i="5"/>
  <c r="AG261" i="5"/>
  <c r="AG356" i="5"/>
  <c r="AG341" i="5"/>
  <c r="AG397" i="5"/>
  <c r="AG421" i="5"/>
  <c r="AG262" i="5"/>
  <c r="AG340" i="5"/>
  <c r="AG386" i="5"/>
  <c r="AG410" i="5"/>
  <c r="AG402" i="5"/>
  <c r="AG412" i="5"/>
  <c r="AG494" i="5"/>
  <c r="AG530" i="5"/>
  <c r="AG460" i="5"/>
  <c r="AG486" i="5"/>
  <c r="AG528" i="5"/>
  <c r="AG444" i="5"/>
  <c r="AG454" i="5"/>
  <c r="AG558" i="5"/>
  <c r="AG30" i="5"/>
  <c r="AG37" i="5"/>
  <c r="AG58" i="5"/>
  <c r="AG70" i="5"/>
  <c r="AG82" i="5"/>
  <c r="AG148" i="5"/>
  <c r="AG146" i="5"/>
  <c r="AG178" i="5"/>
  <c r="AG149" i="5"/>
  <c r="AG162" i="5"/>
  <c r="AG194" i="5"/>
  <c r="AG245" i="5"/>
  <c r="AG166" i="5"/>
  <c r="AG222" i="5"/>
  <c r="AG214" i="5"/>
  <c r="AG260" i="5"/>
  <c r="AG278" i="5"/>
  <c r="AG117" i="5"/>
  <c r="AG300" i="5"/>
  <c r="AG338" i="5"/>
  <c r="AG364" i="5"/>
  <c r="AG398" i="5"/>
  <c r="AG202" i="5"/>
  <c r="AG404" i="5"/>
  <c r="AG466" i="5"/>
  <c r="AG294" i="5"/>
  <c r="AG434" i="5"/>
  <c r="AG462" i="5"/>
  <c r="AG498" i="5"/>
  <c r="AG531" i="5"/>
  <c r="AG476" i="5"/>
  <c r="AG552" i="5"/>
  <c r="AG389" i="5"/>
  <c r="AG461" i="5"/>
  <c r="AG560" i="5"/>
  <c r="B4" i="8"/>
  <c r="B64" i="2"/>
  <c r="B46" i="2"/>
  <c r="B61" i="5"/>
  <c r="AH100" i="5"/>
  <c r="AI100" i="5"/>
  <c r="AM476" i="5"/>
  <c r="AM436" i="5"/>
  <c r="AI511" i="5"/>
  <c r="AH481" i="5"/>
  <c r="AH298" i="5"/>
  <c r="AH230" i="5"/>
  <c r="AH83" i="5"/>
  <c r="AH251" i="5"/>
  <c r="AI251" i="5"/>
  <c r="B171" i="2"/>
  <c r="H52" i="1" s="1"/>
  <c r="B173" i="2"/>
  <c r="AI515" i="5"/>
  <c r="AH515" i="5"/>
  <c r="AH414" i="5"/>
  <c r="AG527" i="5"/>
  <c r="AG535" i="5"/>
  <c r="AG557" i="5"/>
  <c r="AG363" i="5"/>
  <c r="AG497" i="5"/>
  <c r="AG499" i="5"/>
  <c r="AG305" i="5"/>
  <c r="AG387" i="5"/>
  <c r="AG355" i="5"/>
  <c r="AG267" i="5"/>
  <c r="AG119" i="5"/>
  <c r="AG113" i="5"/>
  <c r="AG97" i="5"/>
  <c r="AG81" i="5"/>
  <c r="AM459" i="5"/>
  <c r="AM395" i="5"/>
  <c r="AM41" i="5"/>
  <c r="T75" i="5"/>
  <c r="AG521" i="5"/>
  <c r="AG473" i="5"/>
  <c r="AG337" i="5"/>
  <c r="AG451" i="5"/>
  <c r="AG299" i="5"/>
  <c r="AG283" i="5"/>
  <c r="AG257" i="5"/>
  <c r="AG211" i="5"/>
  <c r="AG131" i="5"/>
  <c r="AG25" i="5"/>
  <c r="AM235" i="5"/>
  <c r="AM115" i="5"/>
  <c r="B64" i="5"/>
  <c r="AJ64" i="5" s="1"/>
  <c r="AG457" i="5"/>
  <c r="AG491" i="5"/>
  <c r="AG379" i="5"/>
  <c r="AG291" i="5"/>
  <c r="AG259" i="5"/>
  <c r="AG217" i="5"/>
  <c r="AG129" i="5"/>
  <c r="AG51" i="5"/>
  <c r="AM449" i="5"/>
  <c r="AM519" i="5"/>
  <c r="T51" i="5"/>
  <c r="AG99" i="5"/>
  <c r="AM251" i="5"/>
  <c r="AG91" i="5"/>
  <c r="AI163" i="5" l="1"/>
  <c r="AI271" i="5"/>
  <c r="AH529" i="5"/>
  <c r="AH442" i="5"/>
  <c r="AH272" i="5"/>
  <c r="AI84" i="5"/>
  <c r="AG489" i="5"/>
  <c r="AG475" i="5"/>
  <c r="AI293" i="5"/>
  <c r="AH268" i="5"/>
  <c r="AG471" i="5"/>
  <c r="AJ187" i="5"/>
  <c r="AG479" i="5"/>
  <c r="AJ307" i="5"/>
  <c r="AL307" i="5" s="1"/>
  <c r="AG532" i="5"/>
  <c r="AI61" i="5"/>
  <c r="AJ283" i="5"/>
  <c r="AJ521" i="5"/>
  <c r="AH322" i="5"/>
  <c r="AI265" i="5"/>
  <c r="AM549" i="5"/>
  <c r="AM409" i="5"/>
  <c r="AN409" i="5" s="1"/>
  <c r="AM113" i="5"/>
  <c r="AO113" i="5" s="1"/>
  <c r="AM347" i="5"/>
  <c r="AO347" i="5" s="1"/>
  <c r="AM500" i="5"/>
  <c r="AM485" i="5"/>
  <c r="AM334" i="5"/>
  <c r="AN334" i="5" s="1"/>
  <c r="AM238" i="5"/>
  <c r="AN238" i="5" s="1"/>
  <c r="AM29" i="5"/>
  <c r="AM426" i="5"/>
  <c r="AM322" i="5"/>
  <c r="AN322" i="5" s="1"/>
  <c r="AM53" i="5"/>
  <c r="AO53" i="5" s="1"/>
  <c r="AM454" i="5"/>
  <c r="AM286" i="5"/>
  <c r="AM186" i="5"/>
  <c r="AN186" i="5" s="1"/>
  <c r="AM62" i="5"/>
  <c r="AO62" i="5" s="1"/>
  <c r="AM493" i="5"/>
  <c r="AM222" i="5"/>
  <c r="AM492" i="5"/>
  <c r="AN492" i="5" s="1"/>
  <c r="AM326" i="5"/>
  <c r="AN326" i="5" s="1"/>
  <c r="AM68" i="5"/>
  <c r="AM487" i="5"/>
  <c r="AM496" i="5"/>
  <c r="AN496" i="5" s="1"/>
  <c r="AH377" i="5"/>
  <c r="AM263" i="5"/>
  <c r="AM554" i="5"/>
  <c r="AM243" i="5"/>
  <c r="AO243" i="5" s="1"/>
  <c r="AM388" i="5"/>
  <c r="AO388" i="5" s="1"/>
  <c r="AM520" i="5"/>
  <c r="AM346" i="5"/>
  <c r="AM173" i="5"/>
  <c r="AN173" i="5" s="1"/>
  <c r="AM550" i="5"/>
  <c r="AN550" i="5" s="1"/>
  <c r="AM458" i="5"/>
  <c r="AM298" i="5"/>
  <c r="AM38" i="5"/>
  <c r="AN38" i="5" s="1"/>
  <c r="AM484" i="5"/>
  <c r="AO484" i="5" s="1"/>
  <c r="AM389" i="5"/>
  <c r="AM204" i="5"/>
  <c r="AM28" i="5"/>
  <c r="AN28" i="5" s="1"/>
  <c r="AM397" i="5"/>
  <c r="AO397" i="5" s="1"/>
  <c r="AM141" i="5"/>
  <c r="AM394" i="5"/>
  <c r="AM161" i="5"/>
  <c r="AO161" i="5" s="1"/>
  <c r="AM431" i="5"/>
  <c r="AN431" i="5" s="1"/>
  <c r="AM495" i="5"/>
  <c r="AM359" i="5"/>
  <c r="AM546" i="5"/>
  <c r="AO546" i="5" s="1"/>
  <c r="AM24" i="5"/>
  <c r="AN24" i="5" s="1"/>
  <c r="AI172" i="5"/>
  <c r="AM457" i="5"/>
  <c r="AO457" i="5" s="1"/>
  <c r="AM129" i="5"/>
  <c r="AN129" i="5" s="1"/>
  <c r="AM211" i="5"/>
  <c r="AN211" i="5" s="1"/>
  <c r="AM410" i="5"/>
  <c r="AM270" i="5"/>
  <c r="AM430" i="5"/>
  <c r="AO430" i="5" s="1"/>
  <c r="AM58" i="5"/>
  <c r="AN58" i="5" s="1"/>
  <c r="AM198" i="5"/>
  <c r="AM31" i="5"/>
  <c r="AM72" i="5"/>
  <c r="AO72" i="5" s="1"/>
  <c r="AM289" i="5"/>
  <c r="AO289" i="5" s="1"/>
  <c r="AM155" i="5"/>
  <c r="AM83" i="5"/>
  <c r="AM299" i="5"/>
  <c r="AN299" i="5" s="1"/>
  <c r="AM396" i="5"/>
  <c r="AO396" i="5" s="1"/>
  <c r="AM434" i="5"/>
  <c r="AM306" i="5"/>
  <c r="AM122" i="5"/>
  <c r="AN122" i="5" s="1"/>
  <c r="AM437" i="5"/>
  <c r="AO437" i="5" s="1"/>
  <c r="AM354" i="5"/>
  <c r="AM282" i="5"/>
  <c r="AM26" i="5"/>
  <c r="AN26" i="5" s="1"/>
  <c r="AM462" i="5"/>
  <c r="AO462" i="5" s="1"/>
  <c r="AM293" i="5"/>
  <c r="AM205" i="5"/>
  <c r="AM42" i="5"/>
  <c r="AO42" i="5" s="1"/>
  <c r="AM374" i="5"/>
  <c r="AO374" i="5" s="1"/>
  <c r="AM149" i="5"/>
  <c r="AM422" i="5"/>
  <c r="AM194" i="5"/>
  <c r="AO194" i="5" s="1"/>
  <c r="AM311" i="5"/>
  <c r="AO311" i="5" s="1"/>
  <c r="AM175" i="5"/>
  <c r="AM32" i="5"/>
  <c r="AM465" i="5"/>
  <c r="AN465" i="5" s="1"/>
  <c r="AM145" i="5"/>
  <c r="AN145" i="5" s="1"/>
  <c r="AM324" i="5"/>
  <c r="AM556" i="5"/>
  <c r="AM438" i="5"/>
  <c r="AO438" i="5" s="1"/>
  <c r="AM61" i="5"/>
  <c r="AO61" i="5" s="1"/>
  <c r="AM418" i="5"/>
  <c r="AM514" i="5"/>
  <c r="AM157" i="5"/>
  <c r="AO157" i="5" s="1"/>
  <c r="AM423" i="5"/>
  <c r="AN423" i="5" s="1"/>
  <c r="AM128" i="5"/>
  <c r="AM225" i="5"/>
  <c r="AN225" i="5" s="1"/>
  <c r="AM369" i="5"/>
  <c r="AO369" i="5" s="1"/>
  <c r="AM450" i="5"/>
  <c r="AN450" i="5" s="1"/>
  <c r="AM506" i="5"/>
  <c r="AM262" i="5"/>
  <c r="AN262" i="5" s="1"/>
  <c r="AM109" i="5"/>
  <c r="AN109" i="5" s="1"/>
  <c r="AM536" i="5"/>
  <c r="AO536" i="5" s="1"/>
  <c r="AM349" i="5"/>
  <c r="AM261" i="5"/>
  <c r="AM372" i="5"/>
  <c r="AN372" i="5" s="1"/>
  <c r="AM412" i="5"/>
  <c r="AO412" i="5" s="1"/>
  <c r="AM404" i="5"/>
  <c r="AM162" i="5"/>
  <c r="AN162" i="5" s="1"/>
  <c r="AM552" i="5"/>
  <c r="AN552" i="5" s="1"/>
  <c r="AM413" i="5"/>
  <c r="AO413" i="5" s="1"/>
  <c r="AM85" i="5"/>
  <c r="AM340" i="5"/>
  <c r="AM197" i="5"/>
  <c r="AN197" i="5" s="1"/>
  <c r="AM447" i="5"/>
  <c r="AN447" i="5" s="1"/>
  <c r="AM383" i="5"/>
  <c r="AM360" i="5"/>
  <c r="AM48" i="5"/>
  <c r="AN48" i="5" s="1"/>
  <c r="AM435" i="5"/>
  <c r="AO435" i="5" s="1"/>
  <c r="AM130" i="5"/>
  <c r="AM302" i="5"/>
  <c r="AM228" i="5"/>
  <c r="AN228" i="5" s="1"/>
  <c r="AM444" i="5"/>
  <c r="AO444" i="5" s="1"/>
  <c r="AM136" i="5"/>
  <c r="AM185" i="5"/>
  <c r="AN185" i="5" s="1"/>
  <c r="AM131" i="5"/>
  <c r="AN131" i="5" s="1"/>
  <c r="AM195" i="5"/>
  <c r="AN195" i="5" s="1"/>
  <c r="AM281" i="5"/>
  <c r="AM169" i="5"/>
  <c r="AJ539" i="5"/>
  <c r="AK539" i="5" s="1"/>
  <c r="AM209" i="5"/>
  <c r="AN209" i="5" s="1"/>
  <c r="AM551" i="5"/>
  <c r="AM325" i="5"/>
  <c r="AM318" i="5"/>
  <c r="AO318" i="5" s="1"/>
  <c r="AM98" i="5"/>
  <c r="AO98" i="5" s="1"/>
  <c r="AM518" i="5"/>
  <c r="AM390" i="5"/>
  <c r="AM210" i="5"/>
  <c r="AO210" i="5" s="1"/>
  <c r="AM528" i="5"/>
  <c r="AN528" i="5" s="1"/>
  <c r="AM532" i="5"/>
  <c r="AM301" i="5"/>
  <c r="AO301" i="5" s="1"/>
  <c r="AM142" i="5"/>
  <c r="AO142" i="5" s="1"/>
  <c r="AM543" i="5"/>
  <c r="AN543" i="5" s="1"/>
  <c r="AM338" i="5"/>
  <c r="AM82" i="5"/>
  <c r="AM356" i="5"/>
  <c r="AO356" i="5" s="1"/>
  <c r="AM116" i="5"/>
  <c r="AN116" i="5" s="1"/>
  <c r="AI88" i="5"/>
  <c r="AM87" i="5"/>
  <c r="AM176" i="5"/>
  <c r="AN176" i="5" s="1"/>
  <c r="AM118" i="5"/>
  <c r="AN118" i="5" s="1"/>
  <c r="AM510" i="5"/>
  <c r="AM490" i="5"/>
  <c r="AM294" i="5"/>
  <c r="AO294" i="5" s="1"/>
  <c r="AM106" i="5"/>
  <c r="AN106" i="5" s="1"/>
  <c r="AM560" i="5"/>
  <c r="AM206" i="5"/>
  <c r="AM481" i="5"/>
  <c r="AO481" i="5" s="1"/>
  <c r="AM358" i="5"/>
  <c r="AO358" i="5" s="1"/>
  <c r="AM110" i="5"/>
  <c r="AM223" i="5"/>
  <c r="AM127" i="5"/>
  <c r="AN127" i="5" s="1"/>
  <c r="AM267" i="5"/>
  <c r="AO267" i="5" s="1"/>
  <c r="AM421" i="5"/>
  <c r="AM341" i="5"/>
  <c r="AM174" i="5"/>
  <c r="AN174" i="5" s="1"/>
  <c r="AM45" i="5"/>
  <c r="AN45" i="5" s="1"/>
  <c r="AM474" i="5"/>
  <c r="AM252" i="5"/>
  <c r="AN252" i="5" s="1"/>
  <c r="AM274" i="5"/>
  <c r="AN274" i="5" s="1"/>
  <c r="AM132" i="5"/>
  <c r="AN132" i="5" s="1"/>
  <c r="AM79" i="5"/>
  <c r="AH266" i="5"/>
  <c r="AM533" i="5"/>
  <c r="AN533" i="5" s="1"/>
  <c r="AM455" i="5"/>
  <c r="AN455" i="5" s="1"/>
  <c r="AM367" i="5"/>
  <c r="AM239" i="5"/>
  <c r="AN239" i="5" s="1"/>
  <c r="AM219" i="5"/>
  <c r="AO219" i="5" s="1"/>
  <c r="T167" i="5"/>
  <c r="U167" i="5" s="1"/>
  <c r="AM71" i="5"/>
  <c r="T153" i="5"/>
  <c r="T122" i="5"/>
  <c r="U122" i="5" s="1"/>
  <c r="AM328" i="5"/>
  <c r="AO328" i="5" s="1"/>
  <c r="AM224" i="5"/>
  <c r="AM56" i="5"/>
  <c r="AN56" i="5" s="1"/>
  <c r="AH297" i="5"/>
  <c r="AM385" i="5"/>
  <c r="AO385" i="5" s="1"/>
  <c r="AM331" i="5"/>
  <c r="AM260" i="5"/>
  <c r="AN260" i="5" s="1"/>
  <c r="AM415" i="5"/>
  <c r="AM547" i="5"/>
  <c r="AN547" i="5" s="1"/>
  <c r="AM446" i="5"/>
  <c r="AM420" i="5"/>
  <c r="AO420" i="5" s="1"/>
  <c r="AM220" i="5"/>
  <c r="AO220" i="5" s="1"/>
  <c r="AM81" i="5"/>
  <c r="AO81" i="5" s="1"/>
  <c r="AM463" i="5"/>
  <c r="AM419" i="5"/>
  <c r="AM167" i="5"/>
  <c r="AO167" i="5" s="1"/>
  <c r="AM23" i="5"/>
  <c r="AN23" i="5" s="1"/>
  <c r="T198" i="5"/>
  <c r="T58" i="5"/>
  <c r="V58" i="5" s="1"/>
  <c r="AH526" i="5"/>
  <c r="AI336" i="5"/>
  <c r="AM232" i="5"/>
  <c r="AM296" i="5"/>
  <c r="AO296" i="5" s="1"/>
  <c r="AM168" i="5"/>
  <c r="AN168" i="5" s="1"/>
  <c r="AM8" i="5"/>
  <c r="AO8" i="5" s="1"/>
  <c r="AM276" i="5"/>
  <c r="AO276" i="5" s="1"/>
  <c r="AM39" i="5"/>
  <c r="AO39" i="5" s="1"/>
  <c r="AH339" i="5"/>
  <c r="AJ371" i="5"/>
  <c r="AK371" i="5" s="1"/>
  <c r="O12" i="5"/>
  <c r="AM477" i="5"/>
  <c r="AO477" i="5" s="1"/>
  <c r="AM314" i="5"/>
  <c r="AO314" i="5" s="1"/>
  <c r="AM125" i="5"/>
  <c r="AN125" i="5" s="1"/>
  <c r="AM505" i="5"/>
  <c r="AM406" i="5"/>
  <c r="AO406" i="5" s="1"/>
  <c r="AM249" i="5"/>
  <c r="AO249" i="5" s="1"/>
  <c r="AM221" i="5"/>
  <c r="AO221" i="5" s="1"/>
  <c r="AM70" i="5"/>
  <c r="AI508" i="5"/>
  <c r="AM537" i="5"/>
  <c r="AN537" i="5" s="1"/>
  <c r="AM335" i="5"/>
  <c r="AN335" i="5" s="1"/>
  <c r="AM287" i="5"/>
  <c r="AM199" i="5"/>
  <c r="AO199" i="5" s="1"/>
  <c r="AM47" i="5"/>
  <c r="AO47" i="5" s="1"/>
  <c r="AM103" i="5"/>
  <c r="AO103" i="5" s="1"/>
  <c r="T218" i="5"/>
  <c r="AH315" i="5"/>
  <c r="AM538" i="5"/>
  <c r="AO538" i="5" s="1"/>
  <c r="T184" i="5"/>
  <c r="AM40" i="5"/>
  <c r="AM88" i="5"/>
  <c r="AN88" i="5" s="1"/>
  <c r="AH393" i="5"/>
  <c r="AI275" i="5"/>
  <c r="AM137" i="5"/>
  <c r="AM451" i="5"/>
  <c r="AM259" i="5"/>
  <c r="AO259" i="5" s="1"/>
  <c r="AH122" i="5"/>
  <c r="AJ379" i="5"/>
  <c r="AM442" i="5"/>
  <c r="AO442" i="5" s="1"/>
  <c r="AM178" i="5"/>
  <c r="AO178" i="5" s="1"/>
  <c r="AM114" i="5"/>
  <c r="AN114" i="5" s="1"/>
  <c r="AM473" i="5"/>
  <c r="AM380" i="5"/>
  <c r="AM278" i="5"/>
  <c r="AO278" i="5" s="1"/>
  <c r="AM172" i="5"/>
  <c r="AO172" i="5" s="1"/>
  <c r="AM50" i="5"/>
  <c r="AI249" i="5"/>
  <c r="AM231" i="5"/>
  <c r="AO231" i="5" s="1"/>
  <c r="T219" i="5"/>
  <c r="U219" i="5" s="1"/>
  <c r="AM207" i="5"/>
  <c r="T111" i="5"/>
  <c r="T42" i="5"/>
  <c r="U42" i="5" s="1"/>
  <c r="AM526" i="5"/>
  <c r="AO526" i="5" s="1"/>
  <c r="AM392" i="5"/>
  <c r="AM264" i="5"/>
  <c r="AN264" i="5" s="1"/>
  <c r="AM192" i="5"/>
  <c r="AN192" i="5" s="1"/>
  <c r="AM555" i="5"/>
  <c r="AN555" i="5" s="1"/>
  <c r="AM97" i="5"/>
  <c r="AN97" i="5" s="1"/>
  <c r="AM283" i="5"/>
  <c r="AN283" i="5" s="1"/>
  <c r="AI453" i="5"/>
  <c r="AI75" i="5"/>
  <c r="AM159" i="5"/>
  <c r="T23" i="5"/>
  <c r="U23" i="5" s="1"/>
  <c r="T71" i="5"/>
  <c r="AM111" i="5"/>
  <c r="AO111" i="5" s="1"/>
  <c r="T193" i="5"/>
  <c r="AM534" i="5"/>
  <c r="AM152" i="5"/>
  <c r="AO152" i="5" s="1"/>
  <c r="AM112" i="5"/>
  <c r="AN112" i="5" s="1"/>
  <c r="AM139" i="5"/>
  <c r="AI427" i="5"/>
  <c r="AH243" i="5"/>
  <c r="AH500" i="5"/>
  <c r="AI161" i="5"/>
  <c r="AI35" i="5"/>
  <c r="AM539" i="5"/>
  <c r="AM497" i="5"/>
  <c r="AO497" i="5" s="1"/>
  <c r="AM233" i="5"/>
  <c r="AM25" i="5"/>
  <c r="AO25" i="5" s="1"/>
  <c r="AM557" i="5"/>
  <c r="AO557" i="5" s="1"/>
  <c r="AM467" i="5"/>
  <c r="AO467" i="5" s="1"/>
  <c r="AM355" i="5"/>
  <c r="AO355" i="5" s="1"/>
  <c r="AM147" i="5"/>
  <c r="AN147" i="5" s="1"/>
  <c r="AM284" i="5"/>
  <c r="AN284" i="5" s="1"/>
  <c r="AM92" i="5"/>
  <c r="AN92" i="5" s="1"/>
  <c r="AI550" i="5"/>
  <c r="AM416" i="5"/>
  <c r="AN416" i="5" s="1"/>
  <c r="AH236" i="5"/>
  <c r="AI507" i="5"/>
  <c r="AH246" i="5"/>
  <c r="AH209" i="5"/>
  <c r="AH374" i="5"/>
  <c r="AH76" i="5"/>
  <c r="AI196" i="5"/>
  <c r="AM432" i="5"/>
  <c r="AN432" i="5" s="1"/>
  <c r="AM512" i="5"/>
  <c r="AN512" i="5" s="1"/>
  <c r="AM240" i="5"/>
  <c r="AO240" i="5" s="1"/>
  <c r="AM96" i="5"/>
  <c r="AM265" i="5"/>
  <c r="AO265" i="5" s="1"/>
  <c r="AM33" i="5"/>
  <c r="AN33" i="5" s="1"/>
  <c r="AM521" i="5"/>
  <c r="AN521" i="5" s="1"/>
  <c r="AM475" i="5"/>
  <c r="AO475" i="5" s="1"/>
  <c r="AM363" i="5"/>
  <c r="AO363" i="5" s="1"/>
  <c r="AM171" i="5"/>
  <c r="AM140" i="5"/>
  <c r="AO140" i="5" s="1"/>
  <c r="AM108" i="5"/>
  <c r="AM89" i="5"/>
  <c r="AO89" i="5" s="1"/>
  <c r="AI413" i="5"/>
  <c r="AI484" i="5"/>
  <c r="AJ51" i="5"/>
  <c r="AJ105" i="5"/>
  <c r="AL105" i="5" s="1"/>
  <c r="AM320" i="5"/>
  <c r="AN320" i="5" s="1"/>
  <c r="AM384" i="5"/>
  <c r="AO384" i="5" s="1"/>
  <c r="AM256" i="5"/>
  <c r="AM304" i="5"/>
  <c r="AM160" i="5"/>
  <c r="AN160" i="5" s="1"/>
  <c r="AM200" i="5"/>
  <c r="AO200" i="5" s="1"/>
  <c r="AM527" i="5"/>
  <c r="AM273" i="5"/>
  <c r="AO273" i="5" s="1"/>
  <c r="AM49" i="5"/>
  <c r="AN49" i="5" s="1"/>
  <c r="AM371" i="5"/>
  <c r="AN371" i="5" s="1"/>
  <c r="AM27" i="5"/>
  <c r="AM156" i="5"/>
  <c r="AN156" i="5" s="1"/>
  <c r="AH411" i="5"/>
  <c r="AI39" i="5"/>
  <c r="AH317" i="5"/>
  <c r="AM305" i="5"/>
  <c r="AN305" i="5" s="1"/>
  <c r="AM65" i="5"/>
  <c r="AO65" i="5" s="1"/>
  <c r="AM491" i="5"/>
  <c r="AN491" i="5" s="1"/>
  <c r="AM43" i="5"/>
  <c r="AO43" i="5" s="1"/>
  <c r="AM164" i="5"/>
  <c r="AN164" i="5" s="1"/>
  <c r="AM179" i="5"/>
  <c r="AO179" i="5" s="1"/>
  <c r="AH407" i="5"/>
  <c r="AJ273" i="5"/>
  <c r="AH549" i="5"/>
  <c r="AM312" i="5"/>
  <c r="AN312" i="5" s="1"/>
  <c r="AM433" i="5"/>
  <c r="AN433" i="5" s="1"/>
  <c r="AM313" i="5"/>
  <c r="AM73" i="5"/>
  <c r="AM427" i="5"/>
  <c r="AM499" i="5"/>
  <c r="AM51" i="5"/>
  <c r="AM212" i="5"/>
  <c r="AN212" i="5" s="1"/>
  <c r="AM343" i="5"/>
  <c r="AN343" i="5" s="1"/>
  <c r="AI180" i="5"/>
  <c r="AG43" i="5"/>
  <c r="AG191" i="5"/>
  <c r="AG431" i="5"/>
  <c r="AG329" i="5"/>
  <c r="AG263" i="5"/>
  <c r="AG331" i="5"/>
  <c r="AG342" i="5"/>
  <c r="AG541" i="5"/>
  <c r="AG150" i="5"/>
  <c r="AG95" i="5"/>
  <c r="AG241" i="5"/>
  <c r="AG399" i="5"/>
  <c r="AG52" i="5"/>
  <c r="AG388" i="5"/>
  <c r="AG430" i="5"/>
  <c r="AG325" i="5"/>
  <c r="AG543" i="5"/>
  <c r="AG53" i="5"/>
  <c r="AG369" i="5"/>
  <c r="B29" i="2"/>
  <c r="B25" i="2"/>
  <c r="B27" i="2"/>
  <c r="B23" i="2"/>
  <c r="B20" i="2"/>
  <c r="T90" i="5"/>
  <c r="T168" i="5"/>
  <c r="T132" i="5"/>
  <c r="U132" i="5" s="1"/>
  <c r="T165" i="5"/>
  <c r="T189" i="5"/>
  <c r="AJ225" i="5"/>
  <c r="AK225" i="5" s="1"/>
  <c r="T143" i="5"/>
  <c r="V143" i="5" s="1"/>
  <c r="T103" i="5"/>
  <c r="U103" i="5" s="1"/>
  <c r="T217" i="5"/>
  <c r="T110" i="5"/>
  <c r="T277" i="5"/>
  <c r="U277" i="5" s="1"/>
  <c r="T124" i="5"/>
  <c r="T46" i="5"/>
  <c r="U46" i="5" s="1"/>
  <c r="T158" i="5"/>
  <c r="T102" i="5"/>
  <c r="U102" i="5" s="1"/>
  <c r="AH373" i="5"/>
  <c r="T240" i="5"/>
  <c r="T200" i="5"/>
  <c r="AI307" i="5"/>
  <c r="T255" i="5"/>
  <c r="T220" i="5"/>
  <c r="U220" i="5" s="1"/>
  <c r="T97" i="5"/>
  <c r="U97" i="5" s="1"/>
  <c r="T213" i="5"/>
  <c r="U213" i="5" s="1"/>
  <c r="T108" i="5"/>
  <c r="U108" i="5" s="1"/>
  <c r="B43" i="5"/>
  <c r="T163" i="5"/>
  <c r="T81" i="5"/>
  <c r="V81" i="5" s="1"/>
  <c r="T128" i="5"/>
  <c r="T48" i="5"/>
  <c r="U48" i="5" s="1"/>
  <c r="AI203" i="5"/>
  <c r="T99" i="5"/>
  <c r="U99" i="5" s="1"/>
  <c r="AH32" i="5"/>
  <c r="T127" i="5"/>
  <c r="T202" i="5"/>
  <c r="T78" i="5"/>
  <c r="U78" i="5" s="1"/>
  <c r="T157" i="5"/>
  <c r="T60" i="5"/>
  <c r="U60" i="5" s="1"/>
  <c r="T238" i="5"/>
  <c r="U238" i="5" s="1"/>
  <c r="T178" i="5"/>
  <c r="V178" i="5" s="1"/>
  <c r="T77" i="5"/>
  <c r="V77" i="5" s="1"/>
  <c r="T144" i="5"/>
  <c r="T216" i="5"/>
  <c r="U216" i="5" s="1"/>
  <c r="T96" i="5"/>
  <c r="V96" i="5" s="1"/>
  <c r="AH323" i="5"/>
  <c r="T147" i="5"/>
  <c r="U147" i="5" s="1"/>
  <c r="AJ227" i="5"/>
  <c r="AK227" i="5" s="1"/>
  <c r="AH483" i="5"/>
  <c r="AH353" i="5"/>
  <c r="T179" i="5"/>
  <c r="T49" i="5"/>
  <c r="T197" i="5"/>
  <c r="U197" i="5" s="1"/>
  <c r="T68" i="5"/>
  <c r="T234" i="5"/>
  <c r="U234" i="5" s="1"/>
  <c r="T148" i="5"/>
  <c r="T54" i="5"/>
  <c r="U54" i="5" s="1"/>
  <c r="AH409" i="5"/>
  <c r="AM163" i="5"/>
  <c r="AM488" i="5"/>
  <c r="AN488" i="5" s="1"/>
  <c r="AI187" i="5"/>
  <c r="AH115" i="5"/>
  <c r="T278" i="5"/>
  <c r="U278" i="5" s="1"/>
  <c r="T145" i="5"/>
  <c r="U145" i="5" s="1"/>
  <c r="T45" i="5"/>
  <c r="V45" i="5" s="1"/>
  <c r="T182" i="5"/>
  <c r="U182" i="5" s="1"/>
  <c r="T62" i="5"/>
  <c r="T209" i="5"/>
  <c r="T116" i="5"/>
  <c r="U116" i="5" s="1"/>
  <c r="T29" i="5"/>
  <c r="T104" i="5"/>
  <c r="U104" i="5" s="1"/>
  <c r="AH215" i="5"/>
  <c r="T534" i="5"/>
  <c r="U534" i="5" s="1"/>
  <c r="T136" i="5"/>
  <c r="U136" i="5" s="1"/>
  <c r="AH358" i="5"/>
  <c r="AH446" i="5"/>
  <c r="AH277" i="5"/>
  <c r="T175" i="5"/>
  <c r="T257" i="5"/>
  <c r="V257" i="5" s="1"/>
  <c r="T129" i="5"/>
  <c r="V129" i="5" s="1"/>
  <c r="T21" i="5"/>
  <c r="U21" i="5" s="1"/>
  <c r="T86" i="5"/>
  <c r="V86" i="5" s="1"/>
  <c r="T20" i="5"/>
  <c r="T164" i="5"/>
  <c r="V164" i="5" s="1"/>
  <c r="T113" i="5"/>
  <c r="U113" i="5" s="1"/>
  <c r="T120" i="5"/>
  <c r="T40" i="5"/>
  <c r="V40" i="5" s="1"/>
  <c r="T72" i="5"/>
  <c r="AI204" i="5"/>
  <c r="AM504" i="5"/>
  <c r="AN504" i="5" s="1"/>
  <c r="AI151" i="5"/>
  <c r="AH151" i="5"/>
  <c r="B59" i="2"/>
  <c r="K26" i="2"/>
  <c r="B67" i="2"/>
  <c r="M26" i="2"/>
  <c r="B63" i="2"/>
  <c r="L26" i="2"/>
  <c r="AI490" i="5"/>
  <c r="AH490" i="5"/>
  <c r="AH308" i="5"/>
  <c r="AI308" i="5"/>
  <c r="AH50" i="5"/>
  <c r="AI50" i="5"/>
  <c r="AI33" i="5"/>
  <c r="AH33" i="5"/>
  <c r="AH505" i="5"/>
  <c r="AH177" i="5"/>
  <c r="AI185" i="5"/>
  <c r="AH185" i="5"/>
  <c r="AI98" i="5"/>
  <c r="AH98" i="5"/>
  <c r="AH478" i="5"/>
  <c r="AI478" i="5"/>
  <c r="AH509" i="5"/>
  <c r="AI509" i="5"/>
  <c r="AH73" i="5"/>
  <c r="AI73" i="5"/>
  <c r="AH60" i="5"/>
  <c r="AI60" i="5"/>
  <c r="AH269" i="5"/>
  <c r="AI269" i="5"/>
  <c r="AH433" i="5"/>
  <c r="AI433" i="5"/>
  <c r="AI309" i="5"/>
  <c r="AH309" i="5"/>
  <c r="AI362" i="5"/>
  <c r="AH362" i="5"/>
  <c r="AH279" i="5"/>
  <c r="AI279" i="5"/>
  <c r="AJ43" i="5"/>
  <c r="AJ147" i="5"/>
  <c r="AH111" i="5"/>
  <c r="B43" i="2"/>
  <c r="K35" i="2"/>
  <c r="AI193" i="5"/>
  <c r="AH193" i="5"/>
  <c r="AI145" i="5"/>
  <c r="AH145" i="5"/>
  <c r="AI303" i="5"/>
  <c r="AH303" i="5"/>
  <c r="AH482" i="5"/>
  <c r="AI482" i="5"/>
  <c r="AH123" i="5"/>
  <c r="AI123" i="5"/>
  <c r="AI366" i="5"/>
  <c r="AH366" i="5"/>
  <c r="AH395" i="5"/>
  <c r="AI395" i="5"/>
  <c r="AI107" i="5"/>
  <c r="AH107" i="5"/>
  <c r="AI116" i="5"/>
  <c r="AH116" i="5"/>
  <c r="AH213" i="5"/>
  <c r="AI213" i="5"/>
  <c r="AH445" i="5"/>
  <c r="AI445" i="5"/>
  <c r="AH86" i="5"/>
  <c r="AI86" i="5"/>
  <c r="AI174" i="5"/>
  <c r="AH174" i="5"/>
  <c r="AH555" i="5"/>
  <c r="AI555" i="5"/>
  <c r="AI59" i="5"/>
  <c r="AH59" i="5"/>
  <c r="AI102" i="5"/>
  <c r="AH102" i="5"/>
  <c r="AH254" i="5"/>
  <c r="AI254" i="5"/>
  <c r="AH468" i="5"/>
  <c r="AI468" i="5"/>
  <c r="AH532" i="5"/>
  <c r="AI532" i="5"/>
  <c r="AJ153" i="5"/>
  <c r="AL153" i="5" s="1"/>
  <c r="AJ169" i="5"/>
  <c r="AI90" i="5"/>
  <c r="AM64" i="5"/>
  <c r="AO64" i="5" s="1"/>
  <c r="AI201" i="5"/>
  <c r="AH201" i="5"/>
  <c r="AH310" i="5"/>
  <c r="AI310" i="5"/>
  <c r="AI235" i="5"/>
  <c r="AH235" i="5"/>
  <c r="AI27" i="5"/>
  <c r="AH27" i="5"/>
  <c r="AI539" i="5"/>
  <c r="AH539" i="5"/>
  <c r="AH357" i="5"/>
  <c r="AI357" i="5"/>
  <c r="AH114" i="5"/>
  <c r="AI114" i="5"/>
  <c r="AH253" i="5"/>
  <c r="AI253" i="5"/>
  <c r="AI559" i="5"/>
  <c r="AH559" i="5"/>
  <c r="AI183" i="5"/>
  <c r="AH183" i="5"/>
  <c r="AI429" i="5"/>
  <c r="AH429" i="5"/>
  <c r="AH537" i="5"/>
  <c r="AI537" i="5"/>
  <c r="AH443" i="5"/>
  <c r="AH225" i="5"/>
  <c r="L35" i="2"/>
  <c r="AI197" i="5"/>
  <c r="AH197" i="5"/>
  <c r="AI147" i="5"/>
  <c r="AH147" i="5"/>
  <c r="AI423" i="5"/>
  <c r="AH423" i="5"/>
  <c r="AI106" i="5"/>
  <c r="AH106" i="5"/>
  <c r="AH349" i="5"/>
  <c r="AI349" i="5"/>
  <c r="AH167" i="5"/>
  <c r="AI167" i="5"/>
  <c r="AI391" i="5"/>
  <c r="AH391" i="5"/>
  <c r="AH489" i="5"/>
  <c r="AI489" i="5"/>
  <c r="AM80" i="5"/>
  <c r="AI139" i="5"/>
  <c r="AI137" i="5"/>
  <c r="AH289" i="5"/>
  <c r="AI289" i="5"/>
  <c r="AH41" i="5"/>
  <c r="AI41" i="5"/>
  <c r="AH242" i="5"/>
  <c r="AI242" i="5"/>
  <c r="AI371" i="5"/>
  <c r="AH371" i="5"/>
  <c r="AH170" i="5"/>
  <c r="AI170" i="5"/>
  <c r="AI108" i="5"/>
  <c r="AH108" i="5"/>
  <c r="AI179" i="5"/>
  <c r="AH179" i="5"/>
  <c r="AH415" i="5"/>
  <c r="AI415" i="5"/>
  <c r="AJ483" i="5"/>
  <c r="AL483" i="5" s="1"/>
  <c r="AI231" i="5"/>
  <c r="AM472" i="5"/>
  <c r="AO472" i="5" s="1"/>
  <c r="T176" i="5"/>
  <c r="V176" i="5" s="1"/>
  <c r="AI57" i="5"/>
  <c r="AH57" i="5"/>
  <c r="AH220" i="5"/>
  <c r="AI220" i="5"/>
  <c r="AI334" i="5"/>
  <c r="AH334" i="5"/>
  <c r="AH49" i="5"/>
  <c r="AI49" i="5"/>
  <c r="AH198" i="5"/>
  <c r="AI198" i="5"/>
  <c r="AH156" i="5"/>
  <c r="AI156" i="5"/>
  <c r="AH343" i="5"/>
  <c r="AI343" i="5"/>
  <c r="AI465" i="5"/>
  <c r="AH465" i="5"/>
  <c r="AI155" i="5"/>
  <c r="AH155" i="5"/>
  <c r="AI46" i="5"/>
  <c r="AH46" i="5"/>
  <c r="AO97" i="5"/>
  <c r="AH469" i="5"/>
  <c r="AM352" i="5"/>
  <c r="AO352" i="5" s="1"/>
  <c r="AH169" i="5"/>
  <c r="AI169" i="5"/>
  <c r="AH105" i="5"/>
  <c r="AI105" i="5"/>
  <c r="AI228" i="5"/>
  <c r="AH228" i="5"/>
  <c r="AH502" i="5"/>
  <c r="AI502" i="5"/>
  <c r="AH63" i="5"/>
  <c r="AI63" i="5"/>
  <c r="AI501" i="5"/>
  <c r="AH501" i="5"/>
  <c r="AH188" i="5"/>
  <c r="AI188" i="5"/>
  <c r="AI171" i="5"/>
  <c r="AH171" i="5"/>
  <c r="AH401" i="5"/>
  <c r="AI401" i="5"/>
  <c r="AH467" i="5"/>
  <c r="AI467" i="5"/>
  <c r="AH227" i="5"/>
  <c r="AI227" i="5"/>
  <c r="AH385" i="5"/>
  <c r="AI385" i="5"/>
  <c r="AH62" i="5"/>
  <c r="AI62" i="5"/>
  <c r="Q554" i="5"/>
  <c r="S554" i="5" s="1"/>
  <c r="Q312" i="5"/>
  <c r="S312" i="5" s="1"/>
  <c r="K35" i="5"/>
  <c r="W184" i="5"/>
  <c r="X184" i="5" s="1"/>
  <c r="W451" i="5"/>
  <c r="Y451" i="5" s="1"/>
  <c r="W319" i="5"/>
  <c r="Y319" i="5" s="1"/>
  <c r="Q344" i="5"/>
  <c r="R344" i="5" s="1"/>
  <c r="Q304" i="5"/>
  <c r="R304" i="5" s="1"/>
  <c r="W78" i="5"/>
  <c r="Y78" i="5" s="1"/>
  <c r="Q534" i="5"/>
  <c r="Q48" i="5"/>
  <c r="S48" i="5" s="1"/>
  <c r="Q320" i="5"/>
  <c r="S320" i="5" s="1"/>
  <c r="Q392" i="5"/>
  <c r="S392" i="5" s="1"/>
  <c r="Q400" i="5"/>
  <c r="S400" i="5" s="1"/>
  <c r="Q488" i="5"/>
  <c r="S488" i="5" s="1"/>
  <c r="Q8" i="5"/>
  <c r="R8" i="5" s="1"/>
  <c r="Q440" i="5"/>
  <c r="S440" i="5" s="1"/>
  <c r="Q200" i="5"/>
  <c r="Q72" i="5"/>
  <c r="S72" i="5" s="1"/>
  <c r="W301" i="5"/>
  <c r="X301" i="5" s="1"/>
  <c r="Q526" i="5"/>
  <c r="R526" i="5" s="1"/>
  <c r="Q456" i="5"/>
  <c r="S456" i="5" s="1"/>
  <c r="Q208" i="5"/>
  <c r="R208" i="5" s="1"/>
  <c r="Q512" i="5"/>
  <c r="S512" i="5" s="1"/>
  <c r="Q144" i="5"/>
  <c r="R144" i="5" s="1"/>
  <c r="B49" i="5"/>
  <c r="W272" i="5"/>
  <c r="W74" i="5"/>
  <c r="Y74" i="5" s="1"/>
  <c r="Q432" i="5"/>
  <c r="S432" i="5" s="1"/>
  <c r="Q168" i="5"/>
  <c r="S168" i="5" s="1"/>
  <c r="Q104" i="5"/>
  <c r="R104" i="5" s="1"/>
  <c r="Q448" i="5"/>
  <c r="R448" i="5" s="1"/>
  <c r="Q480" i="5"/>
  <c r="R480" i="5" s="1"/>
  <c r="Q384" i="5"/>
  <c r="S384" i="5" s="1"/>
  <c r="Q224" i="5"/>
  <c r="R224" i="5" s="1"/>
  <c r="Q152" i="5"/>
  <c r="S152" i="5" s="1"/>
  <c r="Q56" i="5"/>
  <c r="R56" i="5" s="1"/>
  <c r="Q112" i="5"/>
  <c r="R112" i="5" s="1"/>
  <c r="Q538" i="5"/>
  <c r="S538" i="5" s="1"/>
  <c r="Q496" i="5"/>
  <c r="S496" i="5" s="1"/>
  <c r="Q256" i="5"/>
  <c r="S256" i="5" s="1"/>
  <c r="Q120" i="5"/>
  <c r="R120" i="5" s="1"/>
  <c r="Q216" i="5"/>
  <c r="S216" i="5" s="1"/>
  <c r="Q80" i="5"/>
  <c r="S80" i="5" s="1"/>
  <c r="Q424" i="5"/>
  <c r="S424" i="5" s="1"/>
  <c r="Q464" i="5"/>
  <c r="S464" i="5" s="1"/>
  <c r="Q352" i="5"/>
  <c r="S352" i="5" s="1"/>
  <c r="Q264" i="5"/>
  <c r="S264" i="5" s="1"/>
  <c r="Q176" i="5"/>
  <c r="Q546" i="5"/>
  <c r="Q472" i="5"/>
  <c r="S472" i="5" s="1"/>
  <c r="Q416" i="5"/>
  <c r="R416" i="5" s="1"/>
  <c r="Q272" i="5"/>
  <c r="R272" i="5" s="1"/>
  <c r="Q40" i="5"/>
  <c r="S40" i="5" s="1"/>
  <c r="W515" i="5"/>
  <c r="Y515" i="5" s="1"/>
  <c r="W55" i="5"/>
  <c r="X55" i="5" s="1"/>
  <c r="W557" i="5"/>
  <c r="W453" i="5"/>
  <c r="Y453" i="5" s="1"/>
  <c r="W270" i="5"/>
  <c r="Y270" i="5" s="1"/>
  <c r="W100" i="5"/>
  <c r="Y100" i="5" s="1"/>
  <c r="W341" i="5"/>
  <c r="Y341" i="5" s="1"/>
  <c r="W375" i="5"/>
  <c r="Y375" i="5" s="1"/>
  <c r="W26" i="5"/>
  <c r="X26" i="5" s="1"/>
  <c r="Q296" i="5"/>
  <c r="R296" i="5" s="1"/>
  <c r="Q328" i="5"/>
  <c r="S328" i="5" s="1"/>
  <c r="Q360" i="5"/>
  <c r="S360" i="5" s="1"/>
  <c r="Q232" i="5"/>
  <c r="S232" i="5" s="1"/>
  <c r="Q128" i="5"/>
  <c r="R128" i="5" s="1"/>
  <c r="W160" i="5"/>
  <c r="Y160" i="5" s="1"/>
  <c r="Q184" i="5"/>
  <c r="S184" i="5" s="1"/>
  <c r="W24" i="5"/>
  <c r="Y24" i="5" s="1"/>
  <c r="Q64" i="5"/>
  <c r="R64" i="5" s="1"/>
  <c r="Q88" i="5"/>
  <c r="S88" i="5" s="1"/>
  <c r="W66" i="5"/>
  <c r="Y66" i="5" s="1"/>
  <c r="W281" i="5"/>
  <c r="X281" i="5" s="1"/>
  <c r="W28" i="5"/>
  <c r="X28" i="5" s="1"/>
  <c r="W490" i="5"/>
  <c r="X490" i="5" s="1"/>
  <c r="W372" i="5"/>
  <c r="Y372" i="5" s="1"/>
  <c r="W102" i="5"/>
  <c r="Y102" i="5" s="1"/>
  <c r="W86" i="5"/>
  <c r="Y86" i="5" s="1"/>
  <c r="W331" i="5"/>
  <c r="W441" i="5"/>
  <c r="X441" i="5" s="1"/>
  <c r="W204" i="5"/>
  <c r="Y204" i="5" s="1"/>
  <c r="W260" i="5"/>
  <c r="X260" i="5" s="1"/>
  <c r="W399" i="5"/>
  <c r="Y399" i="5" s="1"/>
  <c r="W492" i="5"/>
  <c r="X492" i="5" s="1"/>
  <c r="Q336" i="5"/>
  <c r="S336" i="5" s="1"/>
  <c r="Q368" i="5"/>
  <c r="Q408" i="5"/>
  <c r="S408" i="5" s="1"/>
  <c r="Q240" i="5"/>
  <c r="R240" i="5" s="1"/>
  <c r="Q280" i="5"/>
  <c r="S280" i="5" s="1"/>
  <c r="W136" i="5"/>
  <c r="Y136" i="5" s="1"/>
  <c r="Q160" i="5"/>
  <c r="S160" i="5" s="1"/>
  <c r="W192" i="5"/>
  <c r="Y192" i="5" s="1"/>
  <c r="Q24" i="5"/>
  <c r="S24" i="5" s="1"/>
  <c r="W282" i="5"/>
  <c r="W323" i="5"/>
  <c r="X323" i="5" s="1"/>
  <c r="W135" i="5"/>
  <c r="X135" i="5" s="1"/>
  <c r="W439" i="5"/>
  <c r="X439" i="5" s="1"/>
  <c r="W501" i="5"/>
  <c r="Y501" i="5" s="1"/>
  <c r="W210" i="5"/>
  <c r="Y210" i="5" s="1"/>
  <c r="W259" i="5"/>
  <c r="Y259" i="5" s="1"/>
  <c r="W98" i="5"/>
  <c r="X98" i="5" s="1"/>
  <c r="W110" i="5"/>
  <c r="W291" i="5"/>
  <c r="X291" i="5" s="1"/>
  <c r="W139" i="5"/>
  <c r="X139" i="5" s="1"/>
  <c r="W159" i="5"/>
  <c r="X159" i="5" s="1"/>
  <c r="W382" i="5"/>
  <c r="X382" i="5" s="1"/>
  <c r="W216" i="5"/>
  <c r="X216" i="5" s="1"/>
  <c r="W472" i="5"/>
  <c r="Y472" i="5" s="1"/>
  <c r="Q504" i="5"/>
  <c r="S504" i="5" s="1"/>
  <c r="Q376" i="5"/>
  <c r="Q248" i="5"/>
  <c r="R248" i="5" s="1"/>
  <c r="Q288" i="5"/>
  <c r="S288" i="5" s="1"/>
  <c r="Q136" i="5"/>
  <c r="R136" i="5" s="1"/>
  <c r="W168" i="5"/>
  <c r="Y168" i="5" s="1"/>
  <c r="Q192" i="5"/>
  <c r="S192" i="5" s="1"/>
  <c r="Q32" i="5"/>
  <c r="S32" i="5" s="1"/>
  <c r="W72" i="5"/>
  <c r="X72" i="5" s="1"/>
  <c r="W262" i="5"/>
  <c r="W29" i="5"/>
  <c r="Y29" i="5" s="1"/>
  <c r="W62" i="5"/>
  <c r="Y62" i="5" s="1"/>
  <c r="W365" i="5"/>
  <c r="X365" i="5" s="1"/>
  <c r="W497" i="5"/>
  <c r="Y497" i="5" s="1"/>
  <c r="W183" i="5"/>
  <c r="Y183" i="5" s="1"/>
  <c r="W239" i="5"/>
  <c r="X239" i="5" s="1"/>
  <c r="W334" i="5"/>
  <c r="Y334" i="5" s="1"/>
  <c r="W243" i="5"/>
  <c r="Y243" i="5" s="1"/>
  <c r="W212" i="5"/>
  <c r="W521" i="5"/>
  <c r="X521" i="5" s="1"/>
  <c r="W51" i="5"/>
  <c r="X51" i="5" s="1"/>
  <c r="W330" i="5"/>
  <c r="X330" i="5" s="1"/>
  <c r="W526" i="5"/>
  <c r="X526" i="5" s="1"/>
  <c r="W333" i="5"/>
  <c r="Y333" i="5" s="1"/>
  <c r="W321" i="5"/>
  <c r="X321" i="5" s="1"/>
  <c r="W481" i="5"/>
  <c r="Y481" i="5" s="1"/>
  <c r="W405" i="5"/>
  <c r="W65" i="5"/>
  <c r="X65" i="5" s="1"/>
  <c r="W274" i="5"/>
  <c r="Y274" i="5" s="1"/>
  <c r="W305" i="5"/>
  <c r="X305" i="5" s="1"/>
  <c r="W101" i="5"/>
  <c r="X101" i="5" s="1"/>
  <c r="W467" i="5"/>
  <c r="X467" i="5" s="1"/>
  <c r="W60" i="5"/>
  <c r="Y60" i="5" s="1"/>
  <c r="W366" i="5"/>
  <c r="W290" i="5"/>
  <c r="W189" i="5"/>
  <c r="X189" i="5" s="1"/>
  <c r="W554" i="5"/>
  <c r="X554" i="5" s="1"/>
  <c r="W80" i="5"/>
  <c r="X80" i="5" s="1"/>
  <c r="W75" i="5"/>
  <c r="X75" i="5" s="1"/>
  <c r="W438" i="5"/>
  <c r="Y438" i="5" s="1"/>
  <c r="W386" i="5"/>
  <c r="X386" i="5" s="1"/>
  <c r="W132" i="5"/>
  <c r="W343" i="5"/>
  <c r="W237" i="5"/>
  <c r="X237" i="5" s="1"/>
  <c r="W181" i="5"/>
  <c r="X181" i="5" s="1"/>
  <c r="W71" i="5"/>
  <c r="Y71" i="5" s="1"/>
  <c r="W422" i="5"/>
  <c r="X422" i="5" s="1"/>
  <c r="W197" i="5"/>
  <c r="X197" i="5" s="1"/>
  <c r="W549" i="5"/>
  <c r="Y549" i="5" s="1"/>
  <c r="W293" i="5"/>
  <c r="X293" i="5" s="1"/>
  <c r="W403" i="5"/>
  <c r="X161" i="5"/>
  <c r="W392" i="5"/>
  <c r="Y392" i="5" s="1"/>
  <c r="W394" i="5"/>
  <c r="Y394" i="5" s="1"/>
  <c r="W358" i="5"/>
  <c r="Y358" i="5" s="1"/>
  <c r="W517" i="5"/>
  <c r="X517" i="5" s="1"/>
  <c r="W125" i="5"/>
  <c r="W551" i="5"/>
  <c r="Y551" i="5" s="1"/>
  <c r="W106" i="5"/>
  <c r="X106" i="5" s="1"/>
  <c r="W255" i="5"/>
  <c r="X255" i="5" s="1"/>
  <c r="W436" i="5"/>
  <c r="X436" i="5" s="1"/>
  <c r="W535" i="5"/>
  <c r="Y535" i="5" s="1"/>
  <c r="W340" i="5"/>
  <c r="Y340" i="5" s="1"/>
  <c r="W154" i="5"/>
  <c r="W435" i="5"/>
  <c r="W158" i="5"/>
  <c r="X158" i="5" s="1"/>
  <c r="W27" i="5"/>
  <c r="Y27" i="5" s="1"/>
  <c r="W122" i="5"/>
  <c r="W348" i="5"/>
  <c r="Y348" i="5" s="1"/>
  <c r="W510" i="5"/>
  <c r="X510" i="5" s="1"/>
  <c r="W68" i="5"/>
  <c r="W507" i="5"/>
  <c r="Y507" i="5" s="1"/>
  <c r="W454" i="5"/>
  <c r="X454" i="5" s="1"/>
  <c r="W531" i="5"/>
  <c r="X531" i="5" s="1"/>
  <c r="W449" i="5"/>
  <c r="Y449" i="5" s="1"/>
  <c r="W267" i="5"/>
  <c r="X267" i="5" s="1"/>
  <c r="W177" i="5"/>
  <c r="Y177" i="5" s="1"/>
  <c r="W299" i="5"/>
  <c r="Y299" i="5" s="1"/>
  <c r="W351" i="5"/>
  <c r="Y351" i="5" s="1"/>
  <c r="W536" i="5"/>
  <c r="Y536" i="5" s="1"/>
  <c r="S19" i="4"/>
  <c r="AL19" i="4" s="1"/>
  <c r="S27" i="4"/>
  <c r="AL27" i="4" s="1"/>
  <c r="S35" i="4"/>
  <c r="AL35" i="4" s="1"/>
  <c r="S43" i="4"/>
  <c r="AL43" i="4" s="1"/>
  <c r="S51" i="4"/>
  <c r="AL51" i="4" s="1"/>
  <c r="S60" i="4"/>
  <c r="AL60" i="4" s="1"/>
  <c r="S134" i="4"/>
  <c r="AL134" i="4" s="1"/>
  <c r="S98" i="4"/>
  <c r="U98" i="4" s="1"/>
  <c r="S65" i="4"/>
  <c r="AL65" i="4" s="1"/>
  <c r="S92" i="4"/>
  <c r="AL92" i="4" s="1"/>
  <c r="S123" i="4"/>
  <c r="AL123" i="4" s="1"/>
  <c r="S149" i="4"/>
  <c r="AL149" i="4" s="1"/>
  <c r="S91" i="4"/>
  <c r="AL91" i="4" s="1"/>
  <c r="S133" i="4"/>
  <c r="AS133" i="4" s="1"/>
  <c r="S145" i="4"/>
  <c r="AL145" i="4" s="1"/>
  <c r="S138" i="4"/>
  <c r="AL138" i="4" s="1"/>
  <c r="S113" i="4"/>
  <c r="AL113" i="4" s="1"/>
  <c r="S89" i="4"/>
  <c r="AL89" i="4" s="1"/>
  <c r="S7" i="4"/>
  <c r="AL7" i="4" s="1"/>
  <c r="S58" i="4"/>
  <c r="AL58" i="4" s="1"/>
  <c r="S122" i="4"/>
  <c r="AL122" i="4" s="1"/>
  <c r="S73" i="4"/>
  <c r="V73" i="4" s="1"/>
  <c r="AM73" i="4" s="1"/>
  <c r="S20" i="4"/>
  <c r="AL20" i="4" s="1"/>
  <c r="S28" i="4"/>
  <c r="AL28" i="4" s="1"/>
  <c r="S36" i="4"/>
  <c r="AL36" i="4" s="1"/>
  <c r="S44" i="4"/>
  <c r="AL44" i="4" s="1"/>
  <c r="S52" i="4"/>
  <c r="AL52" i="4" s="1"/>
  <c r="S67" i="4"/>
  <c r="AL67" i="4" s="1"/>
  <c r="S68" i="4"/>
  <c r="AL68" i="4" s="1"/>
  <c r="S102" i="4"/>
  <c r="AL102" i="4" s="1"/>
  <c r="S66" i="4"/>
  <c r="AL66" i="4" s="1"/>
  <c r="S96" i="4"/>
  <c r="AL96" i="4" s="1"/>
  <c r="S124" i="4"/>
  <c r="AL124" i="4" s="1"/>
  <c r="S153" i="4"/>
  <c r="AL153" i="4" s="1"/>
  <c r="S95" i="4"/>
  <c r="AL95" i="4" s="1"/>
  <c r="S77" i="4"/>
  <c r="V77" i="4" s="1"/>
  <c r="S156" i="4"/>
  <c r="AL156" i="4" s="1"/>
  <c r="S141" i="4"/>
  <c r="AS141" i="4" s="1"/>
  <c r="S117" i="4"/>
  <c r="AL117" i="4" s="1"/>
  <c r="S108" i="4"/>
  <c r="AL108" i="4" s="1"/>
  <c r="S50" i="4"/>
  <c r="AL50" i="4" s="1"/>
  <c r="S88" i="4"/>
  <c r="AL88" i="4" s="1"/>
  <c r="S118" i="4"/>
  <c r="U118" i="4" s="1"/>
  <c r="S15" i="4"/>
  <c r="AL15" i="4" s="1"/>
  <c r="S21" i="4"/>
  <c r="S29" i="4"/>
  <c r="AL29" i="4" s="1"/>
  <c r="S37" i="4"/>
  <c r="AL37" i="4" s="1"/>
  <c r="S45" i="4"/>
  <c r="AL45" i="4" s="1"/>
  <c r="S53" i="4"/>
  <c r="AL53" i="4" s="1"/>
  <c r="S62" i="4"/>
  <c r="U62" i="4" s="1"/>
  <c r="S74" i="4"/>
  <c r="AL74" i="4" s="1"/>
  <c r="S109" i="4"/>
  <c r="AL109" i="4" s="1"/>
  <c r="S71" i="4"/>
  <c r="AL71" i="4" s="1"/>
  <c r="S100" i="4"/>
  <c r="AL100" i="4" s="1"/>
  <c r="S125" i="4"/>
  <c r="AL125" i="4" s="1"/>
  <c r="S8" i="4"/>
  <c r="AL8" i="4" s="1"/>
  <c r="S103" i="4"/>
  <c r="AL103" i="4" s="1"/>
  <c r="S93" i="4"/>
  <c r="AL93" i="4" s="1"/>
  <c r="S9" i="4"/>
  <c r="AL9" i="4" s="1"/>
  <c r="S152" i="4"/>
  <c r="AL152" i="4" s="1"/>
  <c r="S147" i="4"/>
  <c r="AL147" i="4" s="1"/>
  <c r="S116" i="4"/>
  <c r="AL116" i="4" s="1"/>
  <c r="S26" i="4"/>
  <c r="AL26" i="4" s="1"/>
  <c r="S130" i="4"/>
  <c r="U130" i="4" s="1"/>
  <c r="S83" i="4"/>
  <c r="AL83" i="4" s="1"/>
  <c r="S101" i="4"/>
  <c r="S63" i="4"/>
  <c r="AL63" i="4" s="1"/>
  <c r="S22" i="4"/>
  <c r="AL22" i="4" s="1"/>
  <c r="S30" i="4"/>
  <c r="AL30" i="4" s="1"/>
  <c r="S38" i="4"/>
  <c r="AL38" i="4" s="1"/>
  <c r="S46" i="4"/>
  <c r="AL46" i="4" s="1"/>
  <c r="S54" i="4"/>
  <c r="AL54" i="4" s="1"/>
  <c r="S69" i="4"/>
  <c r="AL69" i="4" s="1"/>
  <c r="S78" i="4"/>
  <c r="AL78" i="4" s="1"/>
  <c r="S110" i="4"/>
  <c r="AL110" i="4" s="1"/>
  <c r="S72" i="4"/>
  <c r="AL72" i="4" s="1"/>
  <c r="S105" i="4"/>
  <c r="V105" i="4" s="1"/>
  <c r="S126" i="4"/>
  <c r="AL126" i="4" s="1"/>
  <c r="S61" i="4"/>
  <c r="AL61" i="4" s="1"/>
  <c r="S104" i="4"/>
  <c r="AL104" i="4" s="1"/>
  <c r="S107" i="4"/>
  <c r="AL107" i="4" s="1"/>
  <c r="S10" i="4"/>
  <c r="AS10" i="4" s="1"/>
  <c r="S155" i="4"/>
  <c r="AS155" i="4" s="1"/>
  <c r="S148" i="4"/>
  <c r="AL148" i="4" s="1"/>
  <c r="S143" i="4"/>
  <c r="U143" i="4" s="1"/>
  <c r="S18" i="4"/>
  <c r="AL18" i="4" s="1"/>
  <c r="S94" i="4"/>
  <c r="S132" i="4"/>
  <c r="S64" i="4"/>
  <c r="AL64" i="4" s="1"/>
  <c r="S23" i="4"/>
  <c r="AL23" i="4" s="1"/>
  <c r="S31" i="4"/>
  <c r="AL31" i="4" s="1"/>
  <c r="S39" i="4"/>
  <c r="AL39" i="4" s="1"/>
  <c r="S47" i="4"/>
  <c r="AL47" i="4" s="1"/>
  <c r="S55" i="4"/>
  <c r="AL55" i="4" s="1"/>
  <c r="S87" i="4"/>
  <c r="AL87" i="4" s="1"/>
  <c r="S82" i="4"/>
  <c r="AL82" i="4" s="1"/>
  <c r="S119" i="4"/>
  <c r="AL119" i="4" s="1"/>
  <c r="S76" i="4"/>
  <c r="AL76" i="4" s="1"/>
  <c r="S106" i="4"/>
  <c r="AL106" i="4" s="1"/>
  <c r="S135" i="4"/>
  <c r="AL135" i="4" s="1"/>
  <c r="S70" i="4"/>
  <c r="AL70" i="4" s="1"/>
  <c r="S111" i="4"/>
  <c r="AL111" i="4" s="1"/>
  <c r="S115" i="4"/>
  <c r="AL115" i="4" s="1"/>
  <c r="S81" i="4"/>
  <c r="AL81" i="4" s="1"/>
  <c r="S13" i="4"/>
  <c r="AL13" i="4" s="1"/>
  <c r="S151" i="4"/>
  <c r="AL151" i="4" s="1"/>
  <c r="S146" i="4"/>
  <c r="AL146" i="4" s="1"/>
  <c r="S42" i="4"/>
  <c r="AL42" i="4" s="1"/>
  <c r="S144" i="4"/>
  <c r="AL144" i="4" s="1"/>
  <c r="S11" i="4"/>
  <c r="AL11" i="4" s="1"/>
  <c r="S16" i="4"/>
  <c r="AL16" i="4" s="1"/>
  <c r="S24" i="4"/>
  <c r="AL24" i="4" s="1"/>
  <c r="S32" i="4"/>
  <c r="AL32" i="4" s="1"/>
  <c r="S40" i="4"/>
  <c r="AL40" i="4" s="1"/>
  <c r="S48" i="4"/>
  <c r="AL48" i="4" s="1"/>
  <c r="S56" i="4"/>
  <c r="AL56" i="4" s="1"/>
  <c r="S99" i="4"/>
  <c r="AL99" i="4" s="1"/>
  <c r="S86" i="4"/>
  <c r="AL86" i="4" s="1"/>
  <c r="S128" i="4"/>
  <c r="AL128" i="4" s="1"/>
  <c r="S80" i="4"/>
  <c r="AL80" i="4" s="1"/>
  <c r="S112" i="4"/>
  <c r="AL112" i="4" s="1"/>
  <c r="S139" i="4"/>
  <c r="AL139" i="4" s="1"/>
  <c r="S75" i="4"/>
  <c r="AL75" i="4" s="1"/>
  <c r="S129" i="4"/>
  <c r="AL129" i="4" s="1"/>
  <c r="S127" i="4"/>
  <c r="AL127" i="4" s="1"/>
  <c r="S97" i="4"/>
  <c r="AL97" i="4" s="1"/>
  <c r="S14" i="4"/>
  <c r="AL14" i="4" s="1"/>
  <c r="S154" i="4"/>
  <c r="AL154" i="4" s="1"/>
  <c r="S150" i="4"/>
  <c r="AL150" i="4" s="1"/>
  <c r="S17" i="4"/>
  <c r="AL17" i="4" s="1"/>
  <c r="S25" i="4"/>
  <c r="AL25" i="4" s="1"/>
  <c r="S33" i="4"/>
  <c r="AL33" i="4" s="1"/>
  <c r="S41" i="4"/>
  <c r="AL41" i="4" s="1"/>
  <c r="S49" i="4"/>
  <c r="AL49" i="4" s="1"/>
  <c r="S57" i="4"/>
  <c r="AL57" i="4" s="1"/>
  <c r="S120" i="4"/>
  <c r="AL120" i="4" s="1"/>
  <c r="S90" i="4"/>
  <c r="AL90" i="4" s="1"/>
  <c r="S137" i="4"/>
  <c r="AL137" i="4" s="1"/>
  <c r="S84" i="4"/>
  <c r="V84" i="4" s="1"/>
  <c r="S121" i="4"/>
  <c r="AL121" i="4" s="1"/>
  <c r="S140" i="4"/>
  <c r="V140" i="4" s="1"/>
  <c r="S79" i="4"/>
  <c r="S131" i="4"/>
  <c r="AL131" i="4" s="1"/>
  <c r="S136" i="4"/>
  <c r="AL136" i="4" s="1"/>
  <c r="S114" i="4"/>
  <c r="AL114" i="4" s="1"/>
  <c r="S85" i="4"/>
  <c r="AL85" i="4" s="1"/>
  <c r="S12" i="4"/>
  <c r="AL12" i="4" s="1"/>
  <c r="S157" i="4"/>
  <c r="V157" i="4" s="1"/>
  <c r="S34" i="4"/>
  <c r="S59" i="4"/>
  <c r="S142" i="4"/>
  <c r="AL142" i="4" s="1"/>
  <c r="W546" i="5"/>
  <c r="Y546" i="5" s="1"/>
  <c r="W424" i="5"/>
  <c r="X424" i="5" s="1"/>
  <c r="W448" i="5"/>
  <c r="X448" i="5" s="1"/>
  <c r="W496" i="5"/>
  <c r="Y496" i="5" s="1"/>
  <c r="W320" i="5"/>
  <c r="X320" i="5" s="1"/>
  <c r="W344" i="5"/>
  <c r="Y344" i="5" s="1"/>
  <c r="W368" i="5"/>
  <c r="Y368" i="5" s="1"/>
  <c r="W312" i="5"/>
  <c r="X312" i="5" s="1"/>
  <c r="W48" i="5"/>
  <c r="X48" i="5" s="1"/>
  <c r="W96" i="5"/>
  <c r="Y96" i="5" s="1"/>
  <c r="W553" i="5"/>
  <c r="Y553" i="5" s="1"/>
  <c r="W220" i="5"/>
  <c r="X220" i="5" s="1"/>
  <c r="W89" i="5"/>
  <c r="Y89" i="5" s="1"/>
  <c r="W218" i="5"/>
  <c r="Y218" i="5" s="1"/>
  <c r="W324" i="5"/>
  <c r="Y324" i="5" s="1"/>
  <c r="W390" i="5"/>
  <c r="Y390" i="5" s="1"/>
  <c r="W425" i="5"/>
  <c r="X425" i="5" s="1"/>
  <c r="W361" i="5"/>
  <c r="X361" i="5" s="1"/>
  <c r="W362" i="5"/>
  <c r="X362" i="5" s="1"/>
  <c r="W67" i="5"/>
  <c r="X67" i="5" s="1"/>
  <c r="W105" i="5"/>
  <c r="X105" i="5" s="1"/>
  <c r="W503" i="5"/>
  <c r="X503" i="5" s="1"/>
  <c r="W494" i="5"/>
  <c r="X494" i="5" s="1"/>
  <c r="W58" i="5"/>
  <c r="Y58" i="5" s="1"/>
  <c r="W552" i="5"/>
  <c r="Y552" i="5" s="1"/>
  <c r="W332" i="5"/>
  <c r="X332" i="5" s="1"/>
  <c r="W93" i="5"/>
  <c r="X93" i="5" s="1"/>
  <c r="W476" i="5"/>
  <c r="Y476" i="5" s="1"/>
  <c r="W478" i="5"/>
  <c r="Y478" i="5" s="1"/>
  <c r="W164" i="5"/>
  <c r="Y164" i="5" s="1"/>
  <c r="W474" i="5"/>
  <c r="Y474" i="5" s="1"/>
  <c r="W273" i="5"/>
  <c r="Y273" i="5" s="1"/>
  <c r="W244" i="5"/>
  <c r="Y244" i="5" s="1"/>
  <c r="W129" i="5"/>
  <c r="Y129" i="5" s="1"/>
  <c r="W163" i="5"/>
  <c r="X163" i="5" s="1"/>
  <c r="W167" i="5"/>
  <c r="W318" i="5"/>
  <c r="X318" i="5" s="1"/>
  <c r="W310" i="5"/>
  <c r="Y310" i="5" s="1"/>
  <c r="W44" i="5"/>
  <c r="Y44" i="5" s="1"/>
  <c r="W233" i="5"/>
  <c r="X233" i="5" s="1"/>
  <c r="W36" i="5"/>
  <c r="Y36" i="5" s="1"/>
  <c r="W82" i="5"/>
  <c r="X82" i="5" s="1"/>
  <c r="W428" i="5"/>
  <c r="Y428" i="5" s="1"/>
  <c r="W471" i="5"/>
  <c r="Y471" i="5" s="1"/>
  <c r="W21" i="5"/>
  <c r="Y21" i="5" s="1"/>
  <c r="W559" i="5"/>
  <c r="Y559" i="5" s="1"/>
  <c r="W410" i="5"/>
  <c r="X410" i="5" s="1"/>
  <c r="W222" i="5"/>
  <c r="Y222" i="5" s="1"/>
  <c r="W254" i="5"/>
  <c r="Y254" i="5" s="1"/>
  <c r="W130" i="5"/>
  <c r="X130" i="5" s="1"/>
  <c r="W235" i="5"/>
  <c r="W377" i="5"/>
  <c r="W461" i="5"/>
  <c r="W207" i="5"/>
  <c r="Y207" i="5" s="1"/>
  <c r="W408" i="5"/>
  <c r="X408" i="5" s="1"/>
  <c r="W47" i="5"/>
  <c r="W77" i="5"/>
  <c r="X77" i="5" s="1"/>
  <c r="W307" i="5"/>
  <c r="W445" i="5"/>
  <c r="Y445" i="5" s="1"/>
  <c r="W429" i="5"/>
  <c r="X429" i="5" s="1"/>
  <c r="W185" i="5"/>
  <c r="X185" i="5" s="1"/>
  <c r="W423" i="5"/>
  <c r="X423" i="5" s="1"/>
  <c r="W442" i="5"/>
  <c r="Y442" i="5" s="1"/>
  <c r="W248" i="5"/>
  <c r="Y248" i="5" s="1"/>
  <c r="W456" i="5"/>
  <c r="W504" i="5"/>
  <c r="Y504" i="5" s="1"/>
  <c r="W376" i="5"/>
  <c r="X376" i="5" s="1"/>
  <c r="W400" i="5"/>
  <c r="Y400" i="5" s="1"/>
  <c r="W224" i="5"/>
  <c r="Y224" i="5" s="1"/>
  <c r="W256" i="5"/>
  <c r="Y256" i="5" s="1"/>
  <c r="W288" i="5"/>
  <c r="X288" i="5" s="1"/>
  <c r="W120" i="5"/>
  <c r="X120" i="5" s="1"/>
  <c r="W56" i="5"/>
  <c r="W104" i="5"/>
  <c r="Y104" i="5" s="1"/>
  <c r="W148" i="5"/>
  <c r="X148" i="5" s="1"/>
  <c r="W491" i="5"/>
  <c r="Y491" i="5" s="1"/>
  <c r="W322" i="5"/>
  <c r="Y322" i="5" s="1"/>
  <c r="W114" i="5"/>
  <c r="Y114" i="5" s="1"/>
  <c r="W347" i="5"/>
  <c r="Y347" i="5" s="1"/>
  <c r="W378" i="5"/>
  <c r="X378" i="5" s="1"/>
  <c r="W528" i="5"/>
  <c r="Y528" i="5" s="1"/>
  <c r="W508" i="5"/>
  <c r="Y508" i="5" s="1"/>
  <c r="W327" i="5"/>
  <c r="Y327" i="5" s="1"/>
  <c r="W271" i="5"/>
  <c r="X271" i="5" s="1"/>
  <c r="W37" i="5"/>
  <c r="X37" i="5" s="1"/>
  <c r="W356" i="5"/>
  <c r="X356" i="5" s="1"/>
  <c r="W409" i="5"/>
  <c r="Y409" i="5" s="1"/>
  <c r="W530" i="5"/>
  <c r="X530" i="5" s="1"/>
  <c r="W269" i="5"/>
  <c r="W206" i="5"/>
  <c r="Y206" i="5" s="1"/>
  <c r="W20" i="5"/>
  <c r="X20" i="5" s="1"/>
  <c r="W300" i="5"/>
  <c r="Y300" i="5" s="1"/>
  <c r="W393" i="5"/>
  <c r="Y393" i="5" s="1"/>
  <c r="W34" i="5"/>
  <c r="Y34" i="5" s="1"/>
  <c r="W391" i="5"/>
  <c r="X391" i="5" s="1"/>
  <c r="W373" i="5"/>
  <c r="W145" i="5"/>
  <c r="X145" i="5" s="1"/>
  <c r="W178" i="5"/>
  <c r="Y178" i="5" s="1"/>
  <c r="W458" i="5"/>
  <c r="X458" i="5" s="1"/>
  <c r="W511" i="5"/>
  <c r="Y511" i="5" s="1"/>
  <c r="W134" i="5"/>
  <c r="X134" i="5" s="1"/>
  <c r="W236" i="5"/>
  <c r="X236" i="5" s="1"/>
  <c r="W411" i="5"/>
  <c r="X411" i="5" s="1"/>
  <c r="W278" i="5"/>
  <c r="Y278" i="5" s="1"/>
  <c r="W311" i="5"/>
  <c r="Y311" i="5" s="1"/>
  <c r="W39" i="5"/>
  <c r="X39" i="5" s="1"/>
  <c r="W261" i="5"/>
  <c r="Y261" i="5" s="1"/>
  <c r="W473" i="5"/>
  <c r="X473" i="5" s="1"/>
  <c r="W475" i="5"/>
  <c r="Y475" i="5" s="1"/>
  <c r="W430" i="5"/>
  <c r="X430" i="5" s="1"/>
  <c r="W45" i="5"/>
  <c r="X45" i="5" s="1"/>
  <c r="W174" i="5"/>
  <c r="Y174" i="5" s="1"/>
  <c r="W195" i="5"/>
  <c r="Y195" i="5" s="1"/>
  <c r="W505" i="5"/>
  <c r="Y505" i="5" s="1"/>
  <c r="W69" i="5"/>
  <c r="X69" i="5" s="1"/>
  <c r="W172" i="5"/>
  <c r="X172" i="5" s="1"/>
  <c r="W297" i="5"/>
  <c r="X297" i="5" s="1"/>
  <c r="W523" i="5"/>
  <c r="X523" i="5" s="1"/>
  <c r="W257" i="5"/>
  <c r="Y257" i="5" s="1"/>
  <c r="W258" i="5"/>
  <c r="Y258" i="5" s="1"/>
  <c r="W53" i="5"/>
  <c r="X53" i="5" s="1"/>
  <c r="W406" i="5"/>
  <c r="Y406" i="5" s="1"/>
  <c r="W213" i="5"/>
  <c r="X213" i="5" s="1"/>
  <c r="W460" i="5"/>
  <c r="X460" i="5" s="1"/>
  <c r="W46" i="5"/>
  <c r="X46" i="5" s="1"/>
  <c r="W268" i="5"/>
  <c r="X268" i="5" s="1"/>
  <c r="B40" i="5"/>
  <c r="AS24" i="4"/>
  <c r="W32" i="5"/>
  <c r="Y32" i="5" s="1"/>
  <c r="W432" i="5"/>
  <c r="Y432" i="5" s="1"/>
  <c r="W480" i="5"/>
  <c r="X480" i="5" s="1"/>
  <c r="W328" i="5"/>
  <c r="Y328" i="5" s="1"/>
  <c r="W144" i="5"/>
  <c r="X144" i="5" s="1"/>
  <c r="W200" i="5"/>
  <c r="Y200" i="5" s="1"/>
  <c r="W522" i="5"/>
  <c r="Y522" i="5" s="1"/>
  <c r="W283" i="5"/>
  <c r="Y283" i="5" s="1"/>
  <c r="W326" i="5"/>
  <c r="X326" i="5" s="1"/>
  <c r="W111" i="5"/>
  <c r="Y111" i="5" s="1"/>
  <c r="W149" i="5"/>
  <c r="Y149" i="5" s="1"/>
  <c r="W396" i="5"/>
  <c r="X396" i="5" s="1"/>
  <c r="W518" i="5"/>
  <c r="Y518" i="5" s="1"/>
  <c r="W294" i="5"/>
  <c r="X294" i="5" s="1"/>
  <c r="W306" i="5"/>
  <c r="Y306" i="5" s="1"/>
  <c r="W81" i="5"/>
  <c r="X81" i="5" s="1"/>
  <c r="W289" i="5"/>
  <c r="X289" i="5" s="1"/>
  <c r="W367" i="5"/>
  <c r="Y367" i="5" s="1"/>
  <c r="W401" i="5"/>
  <c r="X401" i="5" s="1"/>
  <c r="W292" i="5"/>
  <c r="Y292" i="5" s="1"/>
  <c r="W415" i="5"/>
  <c r="X415" i="5" s="1"/>
  <c r="W91" i="5"/>
  <c r="Y91" i="5" s="1"/>
  <c r="W265" i="5"/>
  <c r="X265" i="5" s="1"/>
  <c r="W346" i="5"/>
  <c r="X346" i="5" s="1"/>
  <c r="W387" i="5"/>
  <c r="Y387" i="5" s="1"/>
  <c r="W308" i="5"/>
  <c r="X308" i="5" s="1"/>
  <c r="W190" i="5"/>
  <c r="X190" i="5" s="1"/>
  <c r="W109" i="5"/>
  <c r="X109" i="5" s="1"/>
  <c r="W117" i="5"/>
  <c r="Y117" i="5" s="1"/>
  <c r="W443" i="5"/>
  <c r="X443" i="5" s="1"/>
  <c r="W483" i="5"/>
  <c r="Y483" i="5" s="1"/>
  <c r="W49" i="5"/>
  <c r="W459" i="5"/>
  <c r="W285" i="5"/>
  <c r="W242" i="5"/>
  <c r="X242" i="5" s="1"/>
  <c r="W263" i="5"/>
  <c r="Y263" i="5" s="1"/>
  <c r="W95" i="5"/>
  <c r="Y95" i="5" s="1"/>
  <c r="W298" i="5"/>
  <c r="Y298" i="5" s="1"/>
  <c r="W371" i="5"/>
  <c r="X371" i="5" s="1"/>
  <c r="W97" i="5"/>
  <c r="X97" i="5" s="1"/>
  <c r="W253" i="5"/>
  <c r="X253" i="5" s="1"/>
  <c r="W214" i="5"/>
  <c r="X214" i="5" s="1"/>
  <c r="W113" i="5"/>
  <c r="W166" i="5"/>
  <c r="Y166" i="5" s="1"/>
  <c r="W389" i="5"/>
  <c r="X389" i="5" s="1"/>
  <c r="W468" i="5"/>
  <c r="Y468" i="5" s="1"/>
  <c r="W115" i="5"/>
  <c r="X115" i="5" s="1"/>
  <c r="W520" i="5"/>
  <c r="X520" i="5" s="1"/>
  <c r="W506" i="5"/>
  <c r="X506" i="5" s="1"/>
  <c r="W193" i="5"/>
  <c r="W221" i="5"/>
  <c r="X221" i="5" s="1"/>
  <c r="W108" i="5"/>
  <c r="Y108" i="5" s="1"/>
  <c r="W313" i="5"/>
  <c r="Y313" i="5" s="1"/>
  <c r="W226" i="5"/>
  <c r="Y226" i="5" s="1"/>
  <c r="W479" i="5"/>
  <c r="W50" i="5"/>
  <c r="W275" i="5"/>
  <c r="Y275" i="5" s="1"/>
  <c r="W342" i="5"/>
  <c r="X342" i="5" s="1"/>
  <c r="W352" i="5"/>
  <c r="X352" i="5" s="1"/>
  <c r="W534" i="5"/>
  <c r="Y534" i="5" s="1"/>
  <c r="W264" i="5"/>
  <c r="X264" i="5" s="1"/>
  <c r="W176" i="5"/>
  <c r="X176" i="5" s="1"/>
  <c r="W64" i="5"/>
  <c r="Y64" i="5" s="1"/>
  <c r="W112" i="5"/>
  <c r="W537" i="5"/>
  <c r="Y537" i="5" s="1"/>
  <c r="W126" i="5"/>
  <c r="X126" i="5" s="1"/>
  <c r="W544" i="5"/>
  <c r="X544" i="5" s="1"/>
  <c r="W107" i="5"/>
  <c r="X107" i="5" s="1"/>
  <c r="W314" i="5"/>
  <c r="X314" i="5" s="1"/>
  <c r="W338" i="5"/>
  <c r="Y338" i="5" s="1"/>
  <c r="W170" i="5"/>
  <c r="Y170" i="5" s="1"/>
  <c r="W201" i="5"/>
  <c r="Y201" i="5" s="1"/>
  <c r="W198" i="5"/>
  <c r="Y198" i="5" s="1"/>
  <c r="W286" i="5"/>
  <c r="X286" i="5" s="1"/>
  <c r="W140" i="5"/>
  <c r="Y140" i="5" s="1"/>
  <c r="W196" i="5"/>
  <c r="X196" i="5" s="1"/>
  <c r="W302" i="5"/>
  <c r="Y302" i="5" s="1"/>
  <c r="W431" i="5"/>
  <c r="Y431" i="5" s="1"/>
  <c r="W76" i="5"/>
  <c r="X76" i="5" s="1"/>
  <c r="W59" i="5"/>
  <c r="X59" i="5" s="1"/>
  <c r="W179" i="5"/>
  <c r="X179" i="5" s="1"/>
  <c r="W231" i="5"/>
  <c r="Y231" i="5" s="1"/>
  <c r="W251" i="5"/>
  <c r="X251" i="5" s="1"/>
  <c r="W498" i="5"/>
  <c r="Y498" i="5" s="1"/>
  <c r="W43" i="5"/>
  <c r="Y43" i="5" s="1"/>
  <c r="W303" i="5"/>
  <c r="Y303" i="5" s="1"/>
  <c r="W54" i="5"/>
  <c r="X54" i="5" s="1"/>
  <c r="W84" i="5"/>
  <c r="X84" i="5" s="1"/>
  <c r="W465" i="5"/>
  <c r="Y465" i="5" s="1"/>
  <c r="W450" i="5"/>
  <c r="X450" i="5" s="1"/>
  <c r="W246" i="5"/>
  <c r="X246" i="5" s="1"/>
  <c r="W539" i="5"/>
  <c r="X539" i="5" s="1"/>
  <c r="W329" i="5"/>
  <c r="Y329" i="5" s="1"/>
  <c r="W228" i="5"/>
  <c r="Y228" i="5" s="1"/>
  <c r="W232" i="5"/>
  <c r="Y232" i="5" s="1"/>
  <c r="W191" i="5"/>
  <c r="Y191" i="5" s="1"/>
  <c r="W287" i="5"/>
  <c r="X287" i="5" s="1"/>
  <c r="W412" i="5"/>
  <c r="Y412" i="5" s="1"/>
  <c r="W407" i="5"/>
  <c r="X407" i="5" s="1"/>
  <c r="W309" i="5"/>
  <c r="Y309" i="5" s="1"/>
  <c r="W525" i="5"/>
  <c r="Y525" i="5" s="1"/>
  <c r="W63" i="5"/>
  <c r="X63" i="5" s="1"/>
  <c r="W121" i="5"/>
  <c r="X121" i="5" s="1"/>
  <c r="W402" i="5"/>
  <c r="X402" i="5" s="1"/>
  <c r="W433" i="5"/>
  <c r="X433" i="5" s="1"/>
  <c r="W35" i="5"/>
  <c r="X35" i="5" s="1"/>
  <c r="W560" i="5"/>
  <c r="Y560" i="5" s="1"/>
  <c r="W381" i="5"/>
  <c r="X381" i="5" s="1"/>
  <c r="W187" i="5"/>
  <c r="X187" i="5" s="1"/>
  <c r="W245" i="5"/>
  <c r="X245" i="5" s="1"/>
  <c r="W241" i="5"/>
  <c r="X241" i="5" s="1"/>
  <c r="W238" i="5"/>
  <c r="X238" i="5" s="1"/>
  <c r="W119" i="5"/>
  <c r="X119" i="5" s="1"/>
  <c r="W276" i="5"/>
  <c r="Y276" i="5" s="1"/>
  <c r="W141" i="5"/>
  <c r="X141" i="5" s="1"/>
  <c r="W414" i="5"/>
  <c r="Y414" i="5" s="1"/>
  <c r="V98" i="4"/>
  <c r="W98" i="4" s="1"/>
  <c r="Y98" i="4" s="1"/>
  <c r="W208" i="5"/>
  <c r="X208" i="5" s="1"/>
  <c r="W538" i="5"/>
  <c r="Y538" i="5" s="1"/>
  <c r="W440" i="5"/>
  <c r="X440" i="5" s="1"/>
  <c r="W464" i="5"/>
  <c r="X464" i="5" s="1"/>
  <c r="W336" i="5"/>
  <c r="X336" i="5" s="1"/>
  <c r="W384" i="5"/>
  <c r="X384" i="5" s="1"/>
  <c r="W296" i="5"/>
  <c r="X296" i="5" s="1"/>
  <c r="W128" i="5"/>
  <c r="Y128" i="5" s="1"/>
  <c r="W40" i="5"/>
  <c r="Y40" i="5" s="1"/>
  <c r="W88" i="5"/>
  <c r="Y88" i="5" s="1"/>
  <c r="W79" i="5"/>
  <c r="Y79" i="5" s="1"/>
  <c r="W543" i="5"/>
  <c r="X543" i="5" s="1"/>
  <c r="W355" i="5"/>
  <c r="Y355" i="5" s="1"/>
  <c r="W444" i="5"/>
  <c r="X444" i="5" s="1"/>
  <c r="W153" i="5"/>
  <c r="X153" i="5" s="1"/>
  <c r="W25" i="5"/>
  <c r="Y25" i="5" s="1"/>
  <c r="W38" i="5"/>
  <c r="X38" i="5" s="1"/>
  <c r="W165" i="5"/>
  <c r="Y165" i="5" s="1"/>
  <c r="W175" i="5"/>
  <c r="X175" i="5" s="1"/>
  <c r="W542" i="5"/>
  <c r="X542" i="5" s="1"/>
  <c r="W143" i="5"/>
  <c r="X143" i="5" s="1"/>
  <c r="W225" i="5"/>
  <c r="X225" i="5" s="1"/>
  <c r="W99" i="5"/>
  <c r="X99" i="5" s="1"/>
  <c r="W500" i="5"/>
  <c r="X500" i="5" s="1"/>
  <c r="W247" i="5"/>
  <c r="Y247" i="5" s="1"/>
  <c r="W532" i="5"/>
  <c r="Y532" i="5" s="1"/>
  <c r="W92" i="5"/>
  <c r="X92" i="5" s="1"/>
  <c r="W229" i="5"/>
  <c r="Y229" i="5" s="1"/>
  <c r="W123" i="5"/>
  <c r="Y123" i="5" s="1"/>
  <c r="W457" i="5"/>
  <c r="Y457" i="5" s="1"/>
  <c r="W359" i="5"/>
  <c r="X359" i="5" s="1"/>
  <c r="W350" i="5"/>
  <c r="X350" i="5" s="1"/>
  <c r="W52" i="5"/>
  <c r="Y52" i="5" s="1"/>
  <c r="W349" i="5"/>
  <c r="Y349" i="5" s="1"/>
  <c r="W487" i="5"/>
  <c r="X487" i="5" s="1"/>
  <c r="W466" i="5"/>
  <c r="Y466" i="5" s="1"/>
  <c r="W469" i="5"/>
  <c r="X469" i="5" s="1"/>
  <c r="W94" i="5"/>
  <c r="Y94" i="5" s="1"/>
  <c r="W173" i="5"/>
  <c r="X173" i="5" s="1"/>
  <c r="W219" i="5"/>
  <c r="X219" i="5" s="1"/>
  <c r="W23" i="5"/>
  <c r="Y23" i="5" s="1"/>
  <c r="W169" i="5"/>
  <c r="X169" i="5" s="1"/>
  <c r="W279" i="5"/>
  <c r="X279" i="5" s="1"/>
  <c r="W486" i="5"/>
  <c r="X486" i="5" s="1"/>
  <c r="W19" i="5"/>
  <c r="Y19" i="5" s="1"/>
  <c r="W419" i="5"/>
  <c r="X419" i="5" s="1"/>
  <c r="W61" i="5"/>
  <c r="Y61" i="5" s="1"/>
  <c r="W90" i="5"/>
  <c r="X90" i="5" s="1"/>
  <c r="W426" i="5"/>
  <c r="Y426" i="5" s="1"/>
  <c r="W417" i="5"/>
  <c r="X417" i="5" s="1"/>
  <c r="W252" i="5"/>
  <c r="X252" i="5" s="1"/>
  <c r="W462" i="5"/>
  <c r="Y462" i="5" s="1"/>
  <c r="W211" i="5"/>
  <c r="X211" i="5" s="1"/>
  <c r="W162" i="5"/>
  <c r="X162" i="5" s="1"/>
  <c r="W205" i="5"/>
  <c r="W548" i="5"/>
  <c r="Y548" i="5" s="1"/>
  <c r="W147" i="5"/>
  <c r="W388" i="5"/>
  <c r="Y388" i="5" s="1"/>
  <c r="W249" i="5"/>
  <c r="Y249" i="5" s="1"/>
  <c r="W397" i="5"/>
  <c r="X397" i="5" s="1"/>
  <c r="W556" i="5"/>
  <c r="X556" i="5" s="1"/>
  <c r="W527" i="5"/>
  <c r="X527" i="5" s="1"/>
  <c r="W152" i="5"/>
  <c r="X152" i="5" s="1"/>
  <c r="W280" i="5"/>
  <c r="Y280" i="5" s="1"/>
  <c r="W488" i="5"/>
  <c r="Y488" i="5" s="1"/>
  <c r="W512" i="5"/>
  <c r="Y512" i="5" s="1"/>
  <c r="W360" i="5"/>
  <c r="X360" i="5" s="1"/>
  <c r="W416" i="5"/>
  <c r="X416" i="5" s="1"/>
  <c r="W240" i="5"/>
  <c r="Y240" i="5" s="1"/>
  <c r="W304" i="5"/>
  <c r="Y304" i="5" s="1"/>
  <c r="W8" i="5"/>
  <c r="X8" i="5" s="1"/>
  <c r="W317" i="5"/>
  <c r="X317" i="5" s="1"/>
  <c r="W30" i="5"/>
  <c r="X30" i="5" s="1"/>
  <c r="W277" i="5"/>
  <c r="X277" i="5" s="1"/>
  <c r="W385" i="5"/>
  <c r="X385" i="5" s="1"/>
  <c r="W150" i="5"/>
  <c r="X150" i="5" s="1"/>
  <c r="W250" i="5"/>
  <c r="X250" i="5" s="1"/>
  <c r="W142" i="5"/>
  <c r="X142" i="5" s="1"/>
  <c r="W182" i="5"/>
  <c r="X182" i="5" s="1"/>
  <c r="W133" i="5"/>
  <c r="Y133" i="5" s="1"/>
  <c r="W151" i="5"/>
  <c r="Y151" i="5" s="1"/>
  <c r="W519" i="5"/>
  <c r="Y519" i="5" s="1"/>
  <c r="W477" i="5"/>
  <c r="Y477" i="5" s="1"/>
  <c r="W171" i="5"/>
  <c r="W398" i="5"/>
  <c r="Y398" i="5" s="1"/>
  <c r="W489" i="5"/>
  <c r="W124" i="5"/>
  <c r="Y124" i="5" s="1"/>
  <c r="W485" i="5"/>
  <c r="X485" i="5" s="1"/>
  <c r="W541" i="5"/>
  <c r="Y541" i="5" s="1"/>
  <c r="W137" i="5"/>
  <c r="Y137" i="5" s="1"/>
  <c r="W354" i="5"/>
  <c r="Y354" i="5" s="1"/>
  <c r="W447" i="5"/>
  <c r="Y447" i="5" s="1"/>
  <c r="W295" i="5"/>
  <c r="Y295" i="5" s="1"/>
  <c r="W325" i="5"/>
  <c r="W33" i="5"/>
  <c r="X33" i="5" s="1"/>
  <c r="W357" i="5"/>
  <c r="X357" i="5" s="1"/>
  <c r="W380" i="5"/>
  <c r="X380" i="5" s="1"/>
  <c r="W85" i="5"/>
  <c r="Y85" i="5" s="1"/>
  <c r="W369" i="5"/>
  <c r="X369" i="5" s="1"/>
  <c r="W524" i="5"/>
  <c r="X524" i="5" s="1"/>
  <c r="W127" i="5"/>
  <c r="W180" i="5"/>
  <c r="X180" i="5" s="1"/>
  <c r="W547" i="5"/>
  <c r="W22" i="5"/>
  <c r="X22" i="5" s="1"/>
  <c r="W209" i="5"/>
  <c r="X209" i="5" s="1"/>
  <c r="W223" i="5"/>
  <c r="Y223" i="5" s="1"/>
  <c r="W558" i="5"/>
  <c r="X558" i="5" s="1"/>
  <c r="W316" i="5"/>
  <c r="Y316" i="5" s="1"/>
  <c r="W413" i="5"/>
  <c r="Y413" i="5" s="1"/>
  <c r="W57" i="5"/>
  <c r="X57" i="5" s="1"/>
  <c r="W421" i="5"/>
  <c r="X421" i="5" s="1"/>
  <c r="W463" i="5"/>
  <c r="X463" i="5" s="1"/>
  <c r="W540" i="5"/>
  <c r="Y540" i="5" s="1"/>
  <c r="W353" i="5"/>
  <c r="X353" i="5" s="1"/>
  <c r="W337" i="5"/>
  <c r="X337" i="5" s="1"/>
  <c r="W157" i="5"/>
  <c r="X157" i="5" s="1"/>
  <c r="W156" i="5"/>
  <c r="Y156" i="5" s="1"/>
  <c r="W437" i="5"/>
  <c r="X437" i="5" s="1"/>
  <c r="W31" i="5"/>
  <c r="Y31" i="5" s="1"/>
  <c r="W452" i="5"/>
  <c r="W234" i="5"/>
  <c r="Y234" i="5" s="1"/>
  <c r="W266" i="5"/>
  <c r="W370" i="5"/>
  <c r="W230" i="5"/>
  <c r="U69" i="4"/>
  <c r="AQ134" i="4"/>
  <c r="W383" i="5"/>
  <c r="X383" i="5" s="1"/>
  <c r="O9" i="5"/>
  <c r="W533" i="5"/>
  <c r="Y533" i="5" s="1"/>
  <c r="W395" i="5"/>
  <c r="Y395" i="5" s="1"/>
  <c r="W199" i="5"/>
  <c r="X199" i="5" s="1"/>
  <c r="W215" i="5"/>
  <c r="Y215" i="5" s="1"/>
  <c r="W493" i="5"/>
  <c r="X493" i="5" s="1"/>
  <c r="W116" i="5"/>
  <c r="X116" i="5" s="1"/>
  <c r="W315" i="5"/>
  <c r="W345" i="5"/>
  <c r="W404" i="5"/>
  <c r="W499" i="5"/>
  <c r="AQ141" i="4"/>
  <c r="U45" i="4"/>
  <c r="W363" i="5"/>
  <c r="W364" i="5"/>
  <c r="X364" i="5" s="1"/>
  <c r="W545" i="5"/>
  <c r="X545" i="5" s="1"/>
  <c r="W194" i="5"/>
  <c r="Y194" i="5" s="1"/>
  <c r="W131" i="5"/>
  <c r="X131" i="5" s="1"/>
  <c r="W188" i="5"/>
  <c r="X188" i="5" s="1"/>
  <c r="W555" i="5"/>
  <c r="X555" i="5" s="1"/>
  <c r="W41" i="5"/>
  <c r="X41" i="5" s="1"/>
  <c r="W202" i="5"/>
  <c r="Y202" i="5" s="1"/>
  <c r="W502" i="5"/>
  <c r="X502" i="5" s="1"/>
  <c r="W455" i="5"/>
  <c r="Y455" i="5" s="1"/>
  <c r="W514" i="5"/>
  <c r="X514" i="5" s="1"/>
  <c r="W495" i="5"/>
  <c r="Y495" i="5" s="1"/>
  <c r="W484" i="5"/>
  <c r="X484" i="5" s="1"/>
  <c r="W138" i="5"/>
  <c r="Y138" i="5" s="1"/>
  <c r="W155" i="5"/>
  <c r="Y155" i="5" s="1"/>
  <c r="W513" i="5"/>
  <c r="X513" i="5" s="1"/>
  <c r="W550" i="5"/>
  <c r="Y550" i="5" s="1"/>
  <c r="W87" i="5"/>
  <c r="X87" i="5" s="1"/>
  <c r="W482" i="5"/>
  <c r="Y482" i="5" s="1"/>
  <c r="W335" i="5"/>
  <c r="Y335" i="5" s="1"/>
  <c r="W427" i="5"/>
  <c r="V96" i="4"/>
  <c r="AM96" i="4" s="1"/>
  <c r="AN96" i="4" s="1"/>
  <c r="AQ73" i="4"/>
  <c r="U96" i="4"/>
  <c r="W420" i="5"/>
  <c r="Y420" i="5" s="1"/>
  <c r="W203" i="5"/>
  <c r="Y203" i="5" s="1"/>
  <c r="W434" i="5"/>
  <c r="Y434" i="5" s="1"/>
  <c r="W339" i="5"/>
  <c r="X339" i="5" s="1"/>
  <c r="W83" i="5"/>
  <c r="X83" i="5" s="1"/>
  <c r="W146" i="5"/>
  <c r="Y146" i="5" s="1"/>
  <c r="W529" i="5"/>
  <c r="X529" i="5" s="1"/>
  <c r="W284" i="5"/>
  <c r="X284" i="5" s="1"/>
  <c r="W186" i="5"/>
  <c r="X186" i="5" s="1"/>
  <c r="W516" i="5"/>
  <c r="Y516" i="5" s="1"/>
  <c r="W103" i="5"/>
  <c r="W73" i="5"/>
  <c r="Y73" i="5" s="1"/>
  <c r="V143" i="4"/>
  <c r="W509" i="5"/>
  <c r="Y509" i="5" s="1"/>
  <c r="W227" i="5"/>
  <c r="Y227" i="5" s="1"/>
  <c r="W374" i="5"/>
  <c r="W42" i="5"/>
  <c r="X42" i="5" s="1"/>
  <c r="W70" i="5"/>
  <c r="X70" i="5" s="1"/>
  <c r="W418" i="5"/>
  <c r="X418" i="5" s="1"/>
  <c r="W217" i="5"/>
  <c r="X217" i="5" s="1"/>
  <c r="W446" i="5"/>
  <c r="X446" i="5" s="1"/>
  <c r="W470" i="5"/>
  <c r="Y470" i="5" s="1"/>
  <c r="W379" i="5"/>
  <c r="X379" i="5" s="1"/>
  <c r="W118" i="5"/>
  <c r="K36" i="5"/>
  <c r="K37" i="5" s="1"/>
  <c r="Q47" i="5"/>
  <c r="Q25" i="5"/>
  <c r="Q50" i="5"/>
  <c r="Q54" i="5"/>
  <c r="Q68" i="5"/>
  <c r="Q73" i="5"/>
  <c r="Q86" i="5"/>
  <c r="Q44" i="5"/>
  <c r="Q108" i="5"/>
  <c r="Q137" i="5"/>
  <c r="Q100" i="5"/>
  <c r="Q157" i="5"/>
  <c r="Q124" i="5"/>
  <c r="Q150" i="5"/>
  <c r="Q174" i="5"/>
  <c r="Q175" i="5"/>
  <c r="Q178" i="5"/>
  <c r="Q199" i="5"/>
  <c r="Q107" i="5"/>
  <c r="Q221" i="5"/>
  <c r="Q195" i="5"/>
  <c r="Q226" i="5"/>
  <c r="Q203" i="5"/>
  <c r="Q284" i="5"/>
  <c r="Q323" i="5"/>
  <c r="Q229" i="5"/>
  <c r="Q285" i="5"/>
  <c r="Q310" i="5"/>
  <c r="Q220" i="5"/>
  <c r="Q274" i="5"/>
  <c r="Q297" i="5"/>
  <c r="Q341" i="5"/>
  <c r="Q289" i="5"/>
  <c r="Q372" i="5"/>
  <c r="Q407" i="5"/>
  <c r="Q439" i="5"/>
  <c r="Q308" i="5"/>
  <c r="Q363" i="5"/>
  <c r="Q402" i="5"/>
  <c r="Q327" i="5"/>
  <c r="Q377" i="5"/>
  <c r="Q412" i="5"/>
  <c r="Q387" i="5"/>
  <c r="Q462" i="5"/>
  <c r="Q485" i="5"/>
  <c r="Q523" i="5"/>
  <c r="Q369" i="5"/>
  <c r="Q446" i="5"/>
  <c r="Q486" i="5"/>
  <c r="Q510" i="5"/>
  <c r="Q444" i="5"/>
  <c r="Q494" i="5"/>
  <c r="Q535" i="5"/>
  <c r="Q553" i="5"/>
  <c r="Q498" i="5"/>
  <c r="Q550" i="5"/>
  <c r="Q558" i="5"/>
  <c r="Q544" i="5"/>
  <c r="Q516" i="5"/>
  <c r="Q49" i="5"/>
  <c r="Q29" i="5"/>
  <c r="Q52" i="5"/>
  <c r="Q55" i="5"/>
  <c r="Q69" i="5"/>
  <c r="Q71" i="5"/>
  <c r="Q95" i="5"/>
  <c r="Q82" i="5"/>
  <c r="Q116" i="5"/>
  <c r="Q142" i="5"/>
  <c r="Q114" i="5"/>
  <c r="Q159" i="5"/>
  <c r="Q126" i="5"/>
  <c r="Q155" i="5"/>
  <c r="Q188" i="5"/>
  <c r="Q179" i="5"/>
  <c r="Q182" i="5"/>
  <c r="Q201" i="5"/>
  <c r="Q177" i="5"/>
  <c r="Q225" i="5"/>
  <c r="Q204" i="5"/>
  <c r="Q231" i="5"/>
  <c r="Q213" i="5"/>
  <c r="Q291" i="5"/>
  <c r="Q325" i="5"/>
  <c r="Q247" i="5"/>
  <c r="Q290" i="5"/>
  <c r="Q321" i="5"/>
  <c r="Q223" i="5"/>
  <c r="Q275" i="5"/>
  <c r="Q309" i="5"/>
  <c r="Q346" i="5"/>
  <c r="Q295" i="5"/>
  <c r="Q375" i="5"/>
  <c r="Q409" i="5"/>
  <c r="Q441" i="5"/>
  <c r="Q314" i="5"/>
  <c r="Q365" i="5"/>
  <c r="Q404" i="5"/>
  <c r="Q338" i="5"/>
  <c r="Q394" i="5"/>
  <c r="Q415" i="5"/>
  <c r="Q390" i="5"/>
  <c r="Q463" i="5"/>
  <c r="Q500" i="5"/>
  <c r="Q524" i="5"/>
  <c r="Q410" i="5"/>
  <c r="Q452" i="5"/>
  <c r="Q487" i="5"/>
  <c r="Q514" i="5"/>
  <c r="Q445" i="5"/>
  <c r="Q497" i="5"/>
  <c r="Q536" i="5"/>
  <c r="Q559" i="5"/>
  <c r="Q508" i="5"/>
  <c r="Q364" i="5"/>
  <c r="Q560" i="5"/>
  <c r="Q556" i="5"/>
  <c r="Q531" i="5"/>
  <c r="Q21" i="5"/>
  <c r="Q20" i="5"/>
  <c r="Q30" i="5"/>
  <c r="Q27" i="5"/>
  <c r="Q58" i="5"/>
  <c r="Q65" i="5"/>
  <c r="Q75" i="5"/>
  <c r="Q85" i="5"/>
  <c r="Q94" i="5"/>
  <c r="Q117" i="5"/>
  <c r="Q151" i="5"/>
  <c r="Q125" i="5"/>
  <c r="Q83" i="5"/>
  <c r="Q127" i="5"/>
  <c r="Q156" i="5"/>
  <c r="Q130" i="5"/>
  <c r="Q180" i="5"/>
  <c r="Q202" i="5"/>
  <c r="Q235" i="5"/>
  <c r="Q186" i="5"/>
  <c r="Q228" i="5"/>
  <c r="Q205" i="5"/>
  <c r="Q234" i="5"/>
  <c r="Q227" i="5"/>
  <c r="Q292" i="5"/>
  <c r="Q331" i="5"/>
  <c r="Q253" i="5"/>
  <c r="Q293" i="5"/>
  <c r="Q326" i="5"/>
  <c r="Q239" i="5"/>
  <c r="Q277" i="5"/>
  <c r="Q315" i="5"/>
  <c r="Q348" i="5"/>
  <c r="Q306" i="5"/>
  <c r="Q380" i="5"/>
  <c r="Q411" i="5"/>
  <c r="Q442" i="5"/>
  <c r="Q340" i="5"/>
  <c r="Q373" i="5"/>
  <c r="Q413" i="5"/>
  <c r="Q347" i="5"/>
  <c r="Q395" i="5"/>
  <c r="Q421" i="5"/>
  <c r="Q393" i="5"/>
  <c r="Q468" i="5"/>
  <c r="Q501" i="5"/>
  <c r="Q527" i="5"/>
  <c r="Q420" i="5"/>
  <c r="Q457" i="5"/>
  <c r="Q489" i="5"/>
  <c r="Q520" i="5"/>
  <c r="Q449" i="5"/>
  <c r="Q502" i="5"/>
  <c r="Q537" i="5"/>
  <c r="Q268" i="5"/>
  <c r="Q515" i="5"/>
  <c r="Q430" i="5"/>
  <c r="Q557" i="5"/>
  <c r="Q403" i="5"/>
  <c r="Q539" i="5"/>
  <c r="Q26" i="5"/>
  <c r="Q22" i="5"/>
  <c r="Q33" i="5"/>
  <c r="Q51" i="5"/>
  <c r="Q60" i="5"/>
  <c r="Q70" i="5"/>
  <c r="Q77" i="5"/>
  <c r="Q87" i="5"/>
  <c r="Q103" i="5"/>
  <c r="Q119" i="5"/>
  <c r="Q153" i="5"/>
  <c r="Q138" i="5"/>
  <c r="Q102" i="5"/>
  <c r="Q129" i="5"/>
  <c r="Q92" i="5"/>
  <c r="Q145" i="5"/>
  <c r="Q183" i="5"/>
  <c r="Q207" i="5"/>
  <c r="Q236" i="5"/>
  <c r="Q189" i="5"/>
  <c r="Q230" i="5"/>
  <c r="Q206" i="5"/>
  <c r="Q237" i="5"/>
  <c r="Q246" i="5"/>
  <c r="Q299" i="5"/>
  <c r="Q333" i="5"/>
  <c r="Q255" i="5"/>
  <c r="Q298" i="5"/>
  <c r="Q330" i="5"/>
  <c r="Q243" i="5"/>
  <c r="Q278" i="5"/>
  <c r="Q317" i="5"/>
  <c r="Q350" i="5"/>
  <c r="Q332" i="5"/>
  <c r="Q385" i="5"/>
  <c r="Q418" i="5"/>
  <c r="Q245" i="5"/>
  <c r="Q343" i="5"/>
  <c r="Q379" i="5"/>
  <c r="Q414" i="5"/>
  <c r="Q351" i="5"/>
  <c r="Q397" i="5"/>
  <c r="Q318" i="5"/>
  <c r="Q433" i="5"/>
  <c r="Q471" i="5"/>
  <c r="Q503" i="5"/>
  <c r="Q252" i="5"/>
  <c r="Q422" i="5"/>
  <c r="Q467" i="5"/>
  <c r="Q490" i="5"/>
  <c r="Q197" i="5"/>
  <c r="Q450" i="5"/>
  <c r="Q509" i="5"/>
  <c r="Q541" i="5"/>
  <c r="Q447" i="5"/>
  <c r="Q532" i="5"/>
  <c r="Q443" i="5"/>
  <c r="Q459" i="5"/>
  <c r="Q427" i="5"/>
  <c r="Q540" i="5"/>
  <c r="Q31" i="5"/>
  <c r="Q23" i="5"/>
  <c r="Q35" i="5"/>
  <c r="Q59" i="5"/>
  <c r="Q63" i="5"/>
  <c r="Q74" i="5"/>
  <c r="Q79" i="5"/>
  <c r="Q90" i="5"/>
  <c r="Q106" i="5"/>
  <c r="Q123" i="5"/>
  <c r="Q154" i="5"/>
  <c r="Q140" i="5"/>
  <c r="Q105" i="5"/>
  <c r="Q134" i="5"/>
  <c r="Q115" i="5"/>
  <c r="Q161" i="5"/>
  <c r="Q185" i="5"/>
  <c r="Q181" i="5"/>
  <c r="Q238" i="5"/>
  <c r="Q191" i="5"/>
  <c r="Q233" i="5"/>
  <c r="Q209" i="5"/>
  <c r="Q242" i="5"/>
  <c r="Q258" i="5"/>
  <c r="Q302" i="5"/>
  <c r="Q196" i="5"/>
  <c r="Q259" i="5"/>
  <c r="Q300" i="5"/>
  <c r="Q141" i="5"/>
  <c r="Q260" i="5"/>
  <c r="Q283" i="5"/>
  <c r="Q319" i="5"/>
  <c r="Q357" i="5"/>
  <c r="Q334" i="5"/>
  <c r="Q386" i="5"/>
  <c r="Q423" i="5"/>
  <c r="Q249" i="5"/>
  <c r="Q349" i="5"/>
  <c r="Q382" i="5"/>
  <c r="Q417" i="5"/>
  <c r="Q358" i="5"/>
  <c r="Q398" i="5"/>
  <c r="Q359" i="5"/>
  <c r="Q453" i="5"/>
  <c r="Q473" i="5"/>
  <c r="Q511" i="5"/>
  <c r="Q301" i="5"/>
  <c r="Q425" i="5"/>
  <c r="Q469" i="5"/>
  <c r="Q492" i="5"/>
  <c r="Q342" i="5"/>
  <c r="Q465" i="5"/>
  <c r="Q518" i="5"/>
  <c r="Q542" i="5"/>
  <c r="Q451" i="5"/>
  <c r="Q547" i="5"/>
  <c r="Q460" i="5"/>
  <c r="Q466" i="5"/>
  <c r="Q429" i="5"/>
  <c r="Q19" i="5"/>
  <c r="Q42" i="5"/>
  <c r="Q36" i="5"/>
  <c r="Q41" i="5"/>
  <c r="Q67" i="5"/>
  <c r="Q57" i="5"/>
  <c r="Q81" i="5"/>
  <c r="Q91" i="5"/>
  <c r="Q110" i="5"/>
  <c r="Q89" i="5"/>
  <c r="Q133" i="5"/>
  <c r="Q53" i="5"/>
  <c r="Q146" i="5"/>
  <c r="Q118" i="5"/>
  <c r="Q147" i="5"/>
  <c r="Q163" i="5"/>
  <c r="Q166" i="5"/>
  <c r="Q164" i="5"/>
  <c r="Q193" i="5"/>
  <c r="Q250" i="5"/>
  <c r="Q210" i="5"/>
  <c r="Q165" i="5"/>
  <c r="Q217" i="5"/>
  <c r="Q101" i="5"/>
  <c r="Q269" i="5"/>
  <c r="Q313" i="5"/>
  <c r="Q215" i="5"/>
  <c r="Q271" i="5"/>
  <c r="Q305" i="5"/>
  <c r="Q173" i="5"/>
  <c r="Q265" i="5"/>
  <c r="Q287" i="5"/>
  <c r="Q329" i="5"/>
  <c r="Q257" i="5"/>
  <c r="Q356" i="5"/>
  <c r="Q391" i="5"/>
  <c r="Q431" i="5"/>
  <c r="Q279" i="5"/>
  <c r="Q354" i="5"/>
  <c r="Q388" i="5"/>
  <c r="Q263" i="5"/>
  <c r="Q370" i="5"/>
  <c r="Q405" i="5"/>
  <c r="Q378" i="5"/>
  <c r="Q455" i="5"/>
  <c r="Q475" i="5"/>
  <c r="Q519" i="5"/>
  <c r="Q337" i="5"/>
  <c r="Q435" i="5"/>
  <c r="Q477" i="5"/>
  <c r="Q495" i="5"/>
  <c r="Q426" i="5"/>
  <c r="Q479" i="5"/>
  <c r="Q529" i="5"/>
  <c r="Q545" i="5"/>
  <c r="Q481" i="5"/>
  <c r="Q552" i="5"/>
  <c r="Q522" i="5"/>
  <c r="Q525" i="5"/>
  <c r="Q499" i="5"/>
  <c r="O11" i="5"/>
  <c r="Q45" i="5"/>
  <c r="Q43" i="5"/>
  <c r="Q46" i="5"/>
  <c r="Q38" i="5"/>
  <c r="Q61" i="5"/>
  <c r="Q28" i="5"/>
  <c r="Q76" i="5"/>
  <c r="Q111" i="5"/>
  <c r="Q99" i="5"/>
  <c r="Q135" i="5"/>
  <c r="Q98" i="5"/>
  <c r="Q149" i="5"/>
  <c r="Q121" i="5"/>
  <c r="Q148" i="5"/>
  <c r="Q169" i="5"/>
  <c r="Q172" i="5"/>
  <c r="Q170" i="5"/>
  <c r="Q198" i="5"/>
  <c r="Q251" i="5"/>
  <c r="Q219" i="5"/>
  <c r="Q171" i="5"/>
  <c r="Q222" i="5"/>
  <c r="Q187" i="5"/>
  <c r="Q276" i="5"/>
  <c r="Q316" i="5"/>
  <c r="Q218" i="5"/>
  <c r="Q281" i="5"/>
  <c r="Q307" i="5"/>
  <c r="Q211" i="5"/>
  <c r="Q267" i="5"/>
  <c r="Q294" i="5"/>
  <c r="Q339" i="5"/>
  <c r="Q273" i="5"/>
  <c r="Q371" i="5"/>
  <c r="Q396" i="5"/>
  <c r="Q438" i="5"/>
  <c r="Q282" i="5"/>
  <c r="Q361" i="5"/>
  <c r="Q399" i="5"/>
  <c r="Q322" i="5"/>
  <c r="Q374" i="5"/>
  <c r="Q406" i="5"/>
  <c r="Q381" i="5"/>
  <c r="Q461" i="5"/>
  <c r="Q483" i="5"/>
  <c r="Q521" i="5"/>
  <c r="Q345" i="5"/>
  <c r="Q436" i="5"/>
  <c r="Q482" i="5"/>
  <c r="Q506" i="5"/>
  <c r="Q437" i="5"/>
  <c r="Q484" i="5"/>
  <c r="Q530" i="5"/>
  <c r="Q548" i="5"/>
  <c r="Q491" i="5"/>
  <c r="Q555" i="5"/>
  <c r="Q549" i="5"/>
  <c r="Q533" i="5"/>
  <c r="Q505" i="5"/>
  <c r="Q93" i="5"/>
  <c r="Q162" i="5"/>
  <c r="Q266" i="5"/>
  <c r="Q324" i="5"/>
  <c r="Q419" i="5"/>
  <c r="Q434" i="5"/>
  <c r="Q551" i="5"/>
  <c r="Q39" i="5"/>
  <c r="Q109" i="5"/>
  <c r="Q132" i="5"/>
  <c r="Q311" i="5"/>
  <c r="Q254" i="5"/>
  <c r="Q367" i="5"/>
  <c r="Q470" i="5"/>
  <c r="Q507" i="5"/>
  <c r="Q34" i="5"/>
  <c r="Q131" i="5"/>
  <c r="Q190" i="5"/>
  <c r="Q212" i="5"/>
  <c r="Q355" i="5"/>
  <c r="Q401" i="5"/>
  <c r="Q493" i="5"/>
  <c r="Q513" i="5"/>
  <c r="Q37" i="5"/>
  <c r="Q158" i="5"/>
  <c r="Q241" i="5"/>
  <c r="Q261" i="5"/>
  <c r="Q389" i="5"/>
  <c r="Q366" i="5"/>
  <c r="Q362" i="5"/>
  <c r="Q458" i="5"/>
  <c r="Q78" i="5"/>
  <c r="Q139" i="5"/>
  <c r="Q214" i="5"/>
  <c r="Q262" i="5"/>
  <c r="Q353" i="5"/>
  <c r="Q517" i="5"/>
  <c r="Q543" i="5"/>
  <c r="Q84" i="5"/>
  <c r="Q122" i="5"/>
  <c r="Q244" i="5"/>
  <c r="Q286" i="5"/>
  <c r="Q383" i="5"/>
  <c r="Q335" i="5"/>
  <c r="Q478" i="5"/>
  <c r="Q167" i="5"/>
  <c r="Q62" i="5"/>
  <c r="Q428" i="5"/>
  <c r="Q66" i="5"/>
  <c r="Q270" i="5"/>
  <c r="Q474" i="5"/>
  <c r="Q143" i="5"/>
  <c r="Q454" i="5"/>
  <c r="Q113" i="5"/>
  <c r="Q97" i="5"/>
  <c r="Q528" i="5"/>
  <c r="Q303" i="5"/>
  <c r="Q194" i="5"/>
  <c r="Q476" i="5"/>
  <c r="B37" i="5"/>
  <c r="AI152" i="5"/>
  <c r="AH403" i="5"/>
  <c r="AO465" i="5"/>
  <c r="AH459" i="5"/>
  <c r="AI248" i="5"/>
  <c r="AN355" i="5"/>
  <c r="AH200" i="5"/>
  <c r="AH347" i="5"/>
  <c r="AH519" i="5"/>
  <c r="AN272" i="5"/>
  <c r="AO272" i="5"/>
  <c r="U64" i="5"/>
  <c r="V64" i="5"/>
  <c r="AN80" i="5"/>
  <c r="AO80" i="5"/>
  <c r="AI441" i="5"/>
  <c r="AH441" i="5"/>
  <c r="AM193" i="5"/>
  <c r="AI19" i="5"/>
  <c r="AH19" i="5"/>
  <c r="AS64" i="4"/>
  <c r="V64" i="4"/>
  <c r="U54" i="4"/>
  <c r="AS54" i="4"/>
  <c r="V54" i="4"/>
  <c r="AS102" i="4"/>
  <c r="AS108" i="4"/>
  <c r="U108" i="4"/>
  <c r="V108" i="4"/>
  <c r="AM59" i="5"/>
  <c r="T554" i="5"/>
  <c r="T546" i="5"/>
  <c r="AH534" i="5"/>
  <c r="AI534" i="5"/>
  <c r="T432" i="5"/>
  <c r="T448" i="5"/>
  <c r="T408" i="5"/>
  <c r="T280" i="5"/>
  <c r="T296" i="5"/>
  <c r="AH136" i="5"/>
  <c r="AI136" i="5"/>
  <c r="AM104" i="5"/>
  <c r="AI361" i="5"/>
  <c r="AH361" i="5"/>
  <c r="AN276" i="5"/>
  <c r="AN43" i="5"/>
  <c r="AM379" i="5"/>
  <c r="AM307" i="5"/>
  <c r="AM91" i="5"/>
  <c r="AM292" i="5"/>
  <c r="AM20" i="5"/>
  <c r="T38" i="5"/>
  <c r="T34" i="5"/>
  <c r="T70" i="5"/>
  <c r="T55" i="5"/>
  <c r="T89" i="5"/>
  <c r="T105" i="5"/>
  <c r="T87" i="5"/>
  <c r="T84" i="5"/>
  <c r="T43" i="5"/>
  <c r="T33" i="5"/>
  <c r="T66" i="5"/>
  <c r="T25" i="5"/>
  <c r="T83" i="5"/>
  <c r="T121" i="5"/>
  <c r="T26" i="5"/>
  <c r="T47" i="5"/>
  <c r="T27" i="5"/>
  <c r="T41" i="5"/>
  <c r="T94" i="5"/>
  <c r="T117" i="5"/>
  <c r="T52" i="5"/>
  <c r="T59" i="5"/>
  <c r="T74" i="5"/>
  <c r="T98" i="5"/>
  <c r="T91" i="5"/>
  <c r="T139" i="5"/>
  <c r="T39" i="5"/>
  <c r="T35" i="5"/>
  <c r="T95" i="5"/>
  <c r="T155" i="5"/>
  <c r="T151" i="5"/>
  <c r="T187" i="5"/>
  <c r="T154" i="5"/>
  <c r="T201" i="5"/>
  <c r="T211" i="5"/>
  <c r="T159" i="5"/>
  <c r="T243" i="5"/>
  <c r="T225" i="5"/>
  <c r="T249" i="5"/>
  <c r="T274" i="5"/>
  <c r="T318" i="5"/>
  <c r="T250" i="5"/>
  <c r="T292" i="5"/>
  <c r="T259" i="5"/>
  <c r="T290" i="5"/>
  <c r="T310" i="5"/>
  <c r="T354" i="5"/>
  <c r="T362" i="5"/>
  <c r="T393" i="5"/>
  <c r="T317" i="5"/>
  <c r="T385" i="5"/>
  <c r="T162" i="5"/>
  <c r="T340" i="5"/>
  <c r="T379" i="5"/>
  <c r="T451" i="5"/>
  <c r="T494" i="5"/>
  <c r="T525" i="5"/>
  <c r="T431" i="5"/>
  <c r="T517" i="5"/>
  <c r="T374" i="5"/>
  <c r="T425" i="5"/>
  <c r="T461" i="5"/>
  <c r="T487" i="5"/>
  <c r="T531" i="5"/>
  <c r="T346" i="5"/>
  <c r="T22" i="5"/>
  <c r="T63" i="5"/>
  <c r="T107" i="5"/>
  <c r="T106" i="5"/>
  <c r="T156" i="5"/>
  <c r="T125" i="5"/>
  <c r="T118" i="5"/>
  <c r="T161" i="5"/>
  <c r="T204" i="5"/>
  <c r="T215" i="5"/>
  <c r="T166" i="5"/>
  <c r="T174" i="5"/>
  <c r="T230" i="5"/>
  <c r="T252" i="5"/>
  <c r="T279" i="5"/>
  <c r="T322" i="5"/>
  <c r="T251" i="5"/>
  <c r="T299" i="5"/>
  <c r="T331" i="5"/>
  <c r="T261" i="5"/>
  <c r="T293" i="5"/>
  <c r="T356" i="5"/>
  <c r="T315" i="5"/>
  <c r="T364" i="5"/>
  <c r="T429" i="5"/>
  <c r="T341" i="5"/>
  <c r="T386" i="5"/>
  <c r="T195" i="5"/>
  <c r="T348" i="5"/>
  <c r="T382" i="5"/>
  <c r="T411" i="5"/>
  <c r="T428" i="5"/>
  <c r="T458" i="5"/>
  <c r="T499" i="5"/>
  <c r="T532" i="5"/>
  <c r="T438" i="5"/>
  <c r="T468" i="5"/>
  <c r="T498" i="5"/>
  <c r="T519" i="5"/>
  <c r="T377" i="5"/>
  <c r="T434" i="5"/>
  <c r="T463" i="5"/>
  <c r="T489" i="5"/>
  <c r="T540" i="5"/>
  <c r="T544" i="5"/>
  <c r="T514" i="5"/>
  <c r="T555" i="5"/>
  <c r="T549" i="5"/>
  <c r="T479" i="5"/>
  <c r="T36" i="5"/>
  <c r="T76" i="5"/>
  <c r="T85" i="5"/>
  <c r="T109" i="5"/>
  <c r="T114" i="5"/>
  <c r="T134" i="5"/>
  <c r="T133" i="5"/>
  <c r="T172" i="5"/>
  <c r="T206" i="5"/>
  <c r="T223" i="5"/>
  <c r="T199" i="5"/>
  <c r="T180" i="5"/>
  <c r="T233" i="5"/>
  <c r="T254" i="5"/>
  <c r="T282" i="5"/>
  <c r="T327" i="5"/>
  <c r="T258" i="5"/>
  <c r="T302" i="5"/>
  <c r="T321" i="5"/>
  <c r="T262" i="5"/>
  <c r="T329" i="5"/>
  <c r="T366" i="5"/>
  <c r="T403" i="5"/>
  <c r="T433" i="5"/>
  <c r="T369" i="5"/>
  <c r="T389" i="5"/>
  <c r="T228" i="5"/>
  <c r="T353" i="5"/>
  <c r="T383" i="5"/>
  <c r="T414" i="5"/>
  <c r="T430" i="5"/>
  <c r="T460" i="5"/>
  <c r="T505" i="5"/>
  <c r="T533" i="5"/>
  <c r="T442" i="5"/>
  <c r="T471" i="5"/>
  <c r="O10" i="5"/>
  <c r="AJ10" i="5" s="1"/>
  <c r="T53" i="5"/>
  <c r="T57" i="5"/>
  <c r="T101" i="5"/>
  <c r="T115" i="5"/>
  <c r="T149" i="5"/>
  <c r="T140" i="5"/>
  <c r="T183" i="5"/>
  <c r="T188" i="5"/>
  <c r="T212" i="5"/>
  <c r="T191" i="5"/>
  <c r="T235" i="5"/>
  <c r="T260" i="5"/>
  <c r="T289" i="5"/>
  <c r="T332" i="5"/>
  <c r="T266" i="5"/>
  <c r="T311" i="5"/>
  <c r="T226" i="5"/>
  <c r="T268" i="5"/>
  <c r="T298" i="5"/>
  <c r="T326" i="5"/>
  <c r="T267" i="5"/>
  <c r="T337" i="5"/>
  <c r="T367" i="5"/>
  <c r="T405" i="5"/>
  <c r="T436" i="5"/>
  <c r="T371" i="5"/>
  <c r="T391" i="5"/>
  <c r="T355" i="5"/>
  <c r="T388" i="5"/>
  <c r="T417" i="5"/>
  <c r="T466" i="5"/>
  <c r="T507" i="5"/>
  <c r="T537" i="5"/>
  <c r="T453" i="5"/>
  <c r="T474" i="5"/>
  <c r="T501" i="5"/>
  <c r="T522" i="5"/>
  <c r="T398" i="5"/>
  <c r="T439" i="5"/>
  <c r="T470" i="5"/>
  <c r="T493" i="5"/>
  <c r="T557" i="5"/>
  <c r="T465" i="5"/>
  <c r="T545" i="5"/>
  <c r="T406" i="5"/>
  <c r="T524" i="5"/>
  <c r="T559" i="5"/>
  <c r="T502" i="5"/>
  <c r="T61" i="5"/>
  <c r="T37" i="5"/>
  <c r="T123" i="5"/>
  <c r="T119" i="5"/>
  <c r="T171" i="5"/>
  <c r="T169" i="5"/>
  <c r="T185" i="5"/>
  <c r="T196" i="5"/>
  <c r="T227" i="5"/>
  <c r="T222" i="5"/>
  <c r="T236" i="5"/>
  <c r="T263" i="5"/>
  <c r="T295" i="5"/>
  <c r="T334" i="5"/>
  <c r="T276" i="5"/>
  <c r="T313" i="5"/>
  <c r="T231" i="5"/>
  <c r="T269" i="5"/>
  <c r="T300" i="5"/>
  <c r="T330" i="5"/>
  <c r="T342" i="5"/>
  <c r="T378" i="5"/>
  <c r="T410" i="5"/>
  <c r="T437" i="5"/>
  <c r="T372" i="5"/>
  <c r="T396" i="5"/>
  <c r="T275" i="5"/>
  <c r="T361" i="5"/>
  <c r="T287" i="5"/>
  <c r="T441" i="5"/>
  <c r="T508" i="5"/>
  <c r="T339" i="5"/>
  <c r="T454" i="5"/>
  <c r="T475" i="5"/>
  <c r="T503" i="5"/>
  <c r="T333" i="5"/>
  <c r="T401" i="5"/>
  <c r="T446" i="5"/>
  <c r="T473" i="5"/>
  <c r="T495" i="5"/>
  <c r="T560" i="5"/>
  <c r="T484" i="5"/>
  <c r="T412" i="5"/>
  <c r="T527" i="5"/>
  <c r="T449" i="5"/>
  <c r="T397" i="5"/>
  <c r="T509" i="5"/>
  <c r="T30" i="5"/>
  <c r="T92" i="5"/>
  <c r="T93" i="5"/>
  <c r="T131" i="5"/>
  <c r="T130" i="5"/>
  <c r="T173" i="5"/>
  <c r="T170" i="5"/>
  <c r="T186" i="5"/>
  <c r="T203" i="5"/>
  <c r="T239" i="5"/>
  <c r="T229" i="5"/>
  <c r="T207" i="5"/>
  <c r="T265" i="5"/>
  <c r="T301" i="5"/>
  <c r="T135" i="5"/>
  <c r="T284" i="5"/>
  <c r="T316" i="5"/>
  <c r="T246" i="5"/>
  <c r="T271" i="5"/>
  <c r="T303" i="5"/>
  <c r="T335" i="5"/>
  <c r="T283" i="5"/>
  <c r="T345" i="5"/>
  <c r="T381" i="5"/>
  <c r="T415" i="5"/>
  <c r="T214" i="5"/>
  <c r="T375" i="5"/>
  <c r="T407" i="5"/>
  <c r="T294" i="5"/>
  <c r="T363" i="5"/>
  <c r="T399" i="5"/>
  <c r="T324" i="5"/>
  <c r="T443" i="5"/>
  <c r="T478" i="5"/>
  <c r="T513" i="5"/>
  <c r="T347" i="5"/>
  <c r="T358" i="5"/>
  <c r="T413" i="5"/>
  <c r="T452" i="5"/>
  <c r="T477" i="5"/>
  <c r="T506" i="5"/>
  <c r="T529" i="5"/>
  <c r="T548" i="5"/>
  <c r="T426" i="5"/>
  <c r="T543" i="5"/>
  <c r="T528" i="5"/>
  <c r="T423" i="5"/>
  <c r="T520" i="5"/>
  <c r="T28" i="5"/>
  <c r="T50" i="5"/>
  <c r="T82" i="5"/>
  <c r="T126" i="5"/>
  <c r="T137" i="5"/>
  <c r="T138" i="5"/>
  <c r="T177" i="5"/>
  <c r="T79" i="5"/>
  <c r="T190" i="5"/>
  <c r="T205" i="5"/>
  <c r="T245" i="5"/>
  <c r="T210" i="5"/>
  <c r="T241" i="5"/>
  <c r="T270" i="5"/>
  <c r="T306" i="5"/>
  <c r="T237" i="5"/>
  <c r="T323" i="5"/>
  <c r="T253" i="5"/>
  <c r="T281" i="5"/>
  <c r="T305" i="5"/>
  <c r="T343" i="5"/>
  <c r="T286" i="5"/>
  <c r="T350" i="5"/>
  <c r="T387" i="5"/>
  <c r="T420" i="5"/>
  <c r="T247" i="5"/>
  <c r="T409" i="5"/>
  <c r="T319" i="5"/>
  <c r="T365" i="5"/>
  <c r="T402" i="5"/>
  <c r="T357" i="5"/>
  <c r="T447" i="5"/>
  <c r="T481" i="5"/>
  <c r="T515" i="5"/>
  <c r="T351" i="5"/>
  <c r="T459" i="5"/>
  <c r="T483" i="5"/>
  <c r="T511" i="5"/>
  <c r="T455" i="5"/>
  <c r="T482" i="5"/>
  <c r="T510" i="5"/>
  <c r="T338" i="5"/>
  <c r="T550" i="5"/>
  <c r="T450" i="5"/>
  <c r="T551" i="5"/>
  <c r="T530" i="5"/>
  <c r="T445" i="5"/>
  <c r="T523" i="5"/>
  <c r="T44" i="5"/>
  <c r="T194" i="5"/>
  <c r="T244" i="5"/>
  <c r="T359" i="5"/>
  <c r="T404" i="5"/>
  <c r="T500" i="5"/>
  <c r="T467" i="5"/>
  <c r="T539" i="5"/>
  <c r="T552" i="5"/>
  <c r="T67" i="5"/>
  <c r="T291" i="5"/>
  <c r="T390" i="5"/>
  <c r="T370" i="5"/>
  <c r="T486" i="5"/>
  <c r="T542" i="5"/>
  <c r="T553" i="5"/>
  <c r="T19" i="5"/>
  <c r="T69" i="5"/>
  <c r="T150" i="5"/>
  <c r="T325" i="5"/>
  <c r="T421" i="5"/>
  <c r="T521" i="5"/>
  <c r="T492" i="5"/>
  <c r="T419" i="5"/>
  <c r="T141" i="5"/>
  <c r="T242" i="5"/>
  <c r="T297" i="5"/>
  <c r="T491" i="5"/>
  <c r="T541" i="5"/>
  <c r="T535" i="5"/>
  <c r="T142" i="5"/>
  <c r="T221" i="5"/>
  <c r="T285" i="5"/>
  <c r="T380" i="5"/>
  <c r="T516" i="5"/>
  <c r="T395" i="5"/>
  <c r="T556" i="5"/>
  <c r="T394" i="5"/>
  <c r="T547" i="5"/>
  <c r="T146" i="5"/>
  <c r="T307" i="5"/>
  <c r="T418" i="5"/>
  <c r="T427" i="5"/>
  <c r="T422" i="5"/>
  <c r="T490" i="5"/>
  <c r="T558" i="5"/>
  <c r="T181" i="5"/>
  <c r="T273" i="5"/>
  <c r="T349" i="5"/>
  <c r="T462" i="5"/>
  <c r="T435" i="5"/>
  <c r="T444" i="5"/>
  <c r="T497" i="5"/>
  <c r="T469" i="5"/>
  <c r="T457" i="5"/>
  <c r="T536" i="5"/>
  <c r="T518" i="5"/>
  <c r="T100" i="5"/>
  <c r="T476" i="5"/>
  <c r="T314" i="5"/>
  <c r="T309" i="5"/>
  <c r="T373" i="5"/>
  <c r="T485" i="5"/>
  <c r="AM35" i="5"/>
  <c r="U8" i="4"/>
  <c r="V8" i="4"/>
  <c r="AS8" i="4"/>
  <c r="AM99" i="5"/>
  <c r="AH554" i="5"/>
  <c r="AI554" i="5"/>
  <c r="AM448" i="5"/>
  <c r="T464" i="5"/>
  <c r="T480" i="5"/>
  <c r="T328" i="5"/>
  <c r="T344" i="5"/>
  <c r="T376" i="5"/>
  <c r="T392" i="5"/>
  <c r="AI408" i="5"/>
  <c r="AH408" i="5"/>
  <c r="T248" i="5"/>
  <c r="T264" i="5"/>
  <c r="AM280" i="5"/>
  <c r="AI120" i="5"/>
  <c r="AH120" i="5"/>
  <c r="T160" i="5"/>
  <c r="T24" i="5"/>
  <c r="U176" i="5"/>
  <c r="AH40" i="5"/>
  <c r="AI40" i="5"/>
  <c r="AH546" i="5"/>
  <c r="AO129" i="5"/>
  <c r="AM387" i="5"/>
  <c r="AM123" i="5"/>
  <c r="AM107" i="5"/>
  <c r="AM300" i="5"/>
  <c r="AI28" i="5"/>
  <c r="AH28" i="5"/>
  <c r="AM177" i="5"/>
  <c r="AM57" i="5"/>
  <c r="AS66" i="4"/>
  <c r="AM464" i="5"/>
  <c r="AM480" i="5"/>
  <c r="T496" i="5"/>
  <c r="T512" i="5"/>
  <c r="AI344" i="5"/>
  <c r="AH344" i="5"/>
  <c r="T360" i="5"/>
  <c r="AI376" i="5"/>
  <c r="AH376" i="5"/>
  <c r="AM408" i="5"/>
  <c r="T224" i="5"/>
  <c r="AM248" i="5"/>
  <c r="AM120" i="5"/>
  <c r="AM184" i="5"/>
  <c r="T208" i="5"/>
  <c r="T88" i="5"/>
  <c r="AS93" i="4"/>
  <c r="AJ451" i="5"/>
  <c r="AL451" i="5" s="1"/>
  <c r="AJ465" i="5"/>
  <c r="AK465" i="5" s="1"/>
  <c r="AN475" i="5"/>
  <c r="AS91" i="4"/>
  <c r="AI547" i="5"/>
  <c r="AH547" i="5"/>
  <c r="AO137" i="5"/>
  <c r="AN137" i="5"/>
  <c r="AM308" i="5"/>
  <c r="AH36" i="5"/>
  <c r="AI36" i="5"/>
  <c r="AM121" i="5"/>
  <c r="AS127" i="4"/>
  <c r="AS45" i="4"/>
  <c r="V45" i="4"/>
  <c r="T526" i="5"/>
  <c r="AM424" i="5"/>
  <c r="T440" i="5"/>
  <c r="AI480" i="5"/>
  <c r="AH480" i="5"/>
  <c r="AM344" i="5"/>
  <c r="AM376" i="5"/>
  <c r="T304" i="5"/>
  <c r="AM144" i="5"/>
  <c r="AI208" i="5"/>
  <c r="AH208" i="5"/>
  <c r="T32" i="5"/>
  <c r="T112" i="5"/>
  <c r="AS128" i="4"/>
  <c r="AN527" i="5"/>
  <c r="AO527" i="5"/>
  <c r="AI513" i="5"/>
  <c r="AH513" i="5"/>
  <c r="AO233" i="5"/>
  <c r="AN233" i="5"/>
  <c r="AO139" i="5"/>
  <c r="AN139" i="5"/>
  <c r="AI319" i="5"/>
  <c r="AH319" i="5"/>
  <c r="AH44" i="5"/>
  <c r="AI44" i="5"/>
  <c r="AN89" i="5"/>
  <c r="AS30" i="4"/>
  <c r="V71" i="4"/>
  <c r="AI538" i="5"/>
  <c r="AH538" i="5"/>
  <c r="T424" i="5"/>
  <c r="AI440" i="5"/>
  <c r="AH440" i="5"/>
  <c r="T456" i="5"/>
  <c r="T336" i="5"/>
  <c r="T400" i="5"/>
  <c r="T272" i="5"/>
  <c r="AH288" i="5"/>
  <c r="AI288" i="5"/>
  <c r="AM208" i="5"/>
  <c r="T56" i="5"/>
  <c r="AN39" i="5"/>
  <c r="AN472" i="5"/>
  <c r="AM535" i="5"/>
  <c r="AM337" i="5"/>
  <c r="AM257" i="5"/>
  <c r="AM153" i="5"/>
  <c r="AM227" i="5"/>
  <c r="AM203" i="5"/>
  <c r="AM236" i="5"/>
  <c r="AM148" i="5"/>
  <c r="AM60" i="5"/>
  <c r="AH375" i="5"/>
  <c r="AI375" i="5"/>
  <c r="U47" i="4"/>
  <c r="AS86" i="4"/>
  <c r="U126" i="4"/>
  <c r="T538" i="5"/>
  <c r="AI424" i="5"/>
  <c r="AH424" i="5"/>
  <c r="AM440" i="5"/>
  <c r="AH456" i="5"/>
  <c r="AI456" i="5"/>
  <c r="T472" i="5"/>
  <c r="T504" i="5"/>
  <c r="AH320" i="5"/>
  <c r="AI320" i="5"/>
  <c r="AM336" i="5"/>
  <c r="T352" i="5"/>
  <c r="T368" i="5"/>
  <c r="AI400" i="5"/>
  <c r="AH400" i="5"/>
  <c r="T416" i="5"/>
  <c r="T232" i="5"/>
  <c r="T288" i="5"/>
  <c r="T192" i="5"/>
  <c r="T80" i="5"/>
  <c r="S96" i="5"/>
  <c r="R96" i="5"/>
  <c r="AI425" i="5"/>
  <c r="AH425" i="5"/>
  <c r="AN25" i="5"/>
  <c r="AN27" i="5"/>
  <c r="AO27" i="5"/>
  <c r="AO260" i="5"/>
  <c r="AS68" i="4"/>
  <c r="U103" i="4"/>
  <c r="V103" i="4"/>
  <c r="AO163" i="5"/>
  <c r="AN163" i="5"/>
  <c r="AS69" i="4"/>
  <c r="AM36" i="5"/>
  <c r="AM67" i="5"/>
  <c r="AM75" i="5"/>
  <c r="AM74" i="5"/>
  <c r="AM100" i="5"/>
  <c r="AM124" i="5"/>
  <c r="AM166" i="5"/>
  <c r="AM201" i="5"/>
  <c r="AM196" i="5"/>
  <c r="AM215" i="5"/>
  <c r="AM291" i="5"/>
  <c r="AM317" i="5"/>
  <c r="AM295" i="5"/>
  <c r="AM357" i="5"/>
  <c r="AM411" i="5"/>
  <c r="AM22" i="5"/>
  <c r="AM21" i="5"/>
  <c r="AM102" i="5"/>
  <c r="AM117" i="5"/>
  <c r="AM170" i="5"/>
  <c r="AM165" i="5"/>
  <c r="AM214" i="5"/>
  <c r="AM237" i="5"/>
  <c r="AM303" i="5"/>
  <c r="AM321" i="5"/>
  <c r="AM309" i="5"/>
  <c r="AM218" i="5"/>
  <c r="AM414" i="5"/>
  <c r="AM375" i="5"/>
  <c r="AM461" i="5"/>
  <c r="AM381" i="5"/>
  <c r="AM545" i="5"/>
  <c r="AM553" i="5"/>
  <c r="AM541" i="5"/>
  <c r="AM37" i="5"/>
  <c r="AM52" i="5"/>
  <c r="AM76" i="5"/>
  <c r="AM86" i="5"/>
  <c r="AM101" i="5"/>
  <c r="AM180" i="5"/>
  <c r="AM190" i="5"/>
  <c r="AM217" i="5"/>
  <c r="AM191" i="5"/>
  <c r="AM323" i="5"/>
  <c r="AM188" i="5"/>
  <c r="AM310" i="5"/>
  <c r="AM316" i="5"/>
  <c r="AM428" i="5"/>
  <c r="AM377" i="5"/>
  <c r="AM333" i="5"/>
  <c r="AM515" i="5"/>
  <c r="AM468" i="5"/>
  <c r="AM405" i="5"/>
  <c r="AM489" i="5"/>
  <c r="AM229" i="5"/>
  <c r="AM558" i="5"/>
  <c r="AM542" i="5"/>
  <c r="AM30" i="5"/>
  <c r="AM63" i="5"/>
  <c r="AM77" i="5"/>
  <c r="AM94" i="5"/>
  <c r="AM126" i="5"/>
  <c r="AM134" i="5"/>
  <c r="AM213" i="5"/>
  <c r="AM226" i="5"/>
  <c r="AM327" i="5"/>
  <c r="AM241" i="5"/>
  <c r="AM315" i="5"/>
  <c r="AM319" i="5"/>
  <c r="AM386" i="5"/>
  <c r="AM531" i="5"/>
  <c r="AM470" i="5"/>
  <c r="AM441" i="5"/>
  <c r="AM494" i="5"/>
  <c r="AM297" i="5"/>
  <c r="AM559" i="5"/>
  <c r="AM44" i="5"/>
  <c r="AM55" i="5"/>
  <c r="AM84" i="5"/>
  <c r="AM138" i="5"/>
  <c r="AM143" i="5"/>
  <c r="AM242" i="5"/>
  <c r="AM246" i="5"/>
  <c r="AM247" i="5"/>
  <c r="AM329" i="5"/>
  <c r="AM250" i="5"/>
  <c r="AM399" i="5"/>
  <c r="AM342" i="5"/>
  <c r="AM401" i="5"/>
  <c r="AM382" i="5"/>
  <c r="AM443" i="5"/>
  <c r="AM502" i="5"/>
  <c r="AM425" i="5"/>
  <c r="AM524" i="5"/>
  <c r="AM46" i="5"/>
  <c r="AM54" i="5"/>
  <c r="AM146" i="5"/>
  <c r="AM158" i="5"/>
  <c r="AM230" i="5"/>
  <c r="AM244" i="5"/>
  <c r="AM266" i="5"/>
  <c r="AM269" i="5"/>
  <c r="AM255" i="5"/>
  <c r="AM330" i="5"/>
  <c r="AM373" i="5"/>
  <c r="AM277" i="5"/>
  <c r="AM402" i="5"/>
  <c r="AM364" i="5"/>
  <c r="AM452" i="5"/>
  <c r="AM391" i="5"/>
  <c r="AM507" i="5"/>
  <c r="AM453" i="5"/>
  <c r="AM503" i="5"/>
  <c r="AM513" i="5"/>
  <c r="AM544" i="5"/>
  <c r="AM483" i="5"/>
  <c r="AM90" i="5"/>
  <c r="AM154" i="5"/>
  <c r="AM181" i="5"/>
  <c r="AM183" i="5"/>
  <c r="AM271" i="5"/>
  <c r="AM268" i="5"/>
  <c r="AM339" i="5"/>
  <c r="AM345" i="5"/>
  <c r="AM417" i="5"/>
  <c r="AM366" i="5"/>
  <c r="AM460" i="5"/>
  <c r="AM403" i="5"/>
  <c r="AM511" i="5"/>
  <c r="AM466" i="5"/>
  <c r="AM509" i="5"/>
  <c r="AM517" i="5"/>
  <c r="AM407" i="5"/>
  <c r="AM19" i="5"/>
  <c r="AM151" i="5"/>
  <c r="AM275" i="5"/>
  <c r="AM398" i="5"/>
  <c r="AM479" i="5"/>
  <c r="AM119" i="5"/>
  <c r="AM351" i="5"/>
  <c r="AM471" i="5"/>
  <c r="AM522" i="5"/>
  <c r="AM150" i="5"/>
  <c r="AM393" i="5"/>
  <c r="AM478" i="5"/>
  <c r="AM523" i="5"/>
  <c r="AM187" i="5"/>
  <c r="AM350" i="5"/>
  <c r="AM429" i="5"/>
  <c r="AM529" i="5"/>
  <c r="AM34" i="5"/>
  <c r="AM182" i="5"/>
  <c r="AM361" i="5"/>
  <c r="AM439" i="5"/>
  <c r="AM548" i="5"/>
  <c r="AM202" i="5"/>
  <c r="AM245" i="5"/>
  <c r="AM516" i="5"/>
  <c r="AM78" i="5"/>
  <c r="AM279" i="5"/>
  <c r="AM254" i="5"/>
  <c r="AM353" i="5"/>
  <c r="AM501" i="5"/>
  <c r="AM95" i="5"/>
  <c r="AM290" i="5"/>
  <c r="AM378" i="5"/>
  <c r="AM469" i="5"/>
  <c r="AS134" i="4"/>
  <c r="V68" i="4"/>
  <c r="AM456" i="5"/>
  <c r="AH472" i="5"/>
  <c r="AI472" i="5"/>
  <c r="T488" i="5"/>
  <c r="AI504" i="5"/>
  <c r="AH504" i="5"/>
  <c r="T320" i="5"/>
  <c r="AI352" i="5"/>
  <c r="AH352" i="5"/>
  <c r="AM368" i="5"/>
  <c r="T384" i="5"/>
  <c r="AM400" i="5"/>
  <c r="AI416" i="5"/>
  <c r="AH416" i="5"/>
  <c r="T256" i="5"/>
  <c r="AM288" i="5"/>
  <c r="T312" i="5"/>
  <c r="T152" i="5"/>
  <c r="AM216" i="5"/>
  <c r="AH80" i="5"/>
  <c r="AI80" i="5"/>
  <c r="T8" i="5"/>
  <c r="B206" i="2"/>
  <c r="B255" i="2"/>
  <c r="AL64" i="5"/>
  <c r="AK64" i="5"/>
  <c r="AO251" i="5"/>
  <c r="AN251" i="5"/>
  <c r="U51" i="5"/>
  <c r="V51" i="5"/>
  <c r="AN155" i="5"/>
  <c r="AO155" i="5"/>
  <c r="AI217" i="5"/>
  <c r="AH217" i="5"/>
  <c r="AO409" i="5"/>
  <c r="AI299" i="5"/>
  <c r="AH299" i="5"/>
  <c r="AJ195" i="5"/>
  <c r="AJ519" i="5"/>
  <c r="AN113" i="5"/>
  <c r="AI305" i="5"/>
  <c r="AH305" i="5"/>
  <c r="AJ171" i="5"/>
  <c r="AJ457" i="5"/>
  <c r="AJ131" i="5"/>
  <c r="AJ59" i="5"/>
  <c r="AJ115" i="5"/>
  <c r="AN436" i="5"/>
  <c r="AO436" i="5"/>
  <c r="AI461" i="5"/>
  <c r="AH461" i="5"/>
  <c r="AI294" i="5"/>
  <c r="AH294" i="5"/>
  <c r="AH117" i="5"/>
  <c r="AI117" i="5"/>
  <c r="AI162" i="5"/>
  <c r="AH162" i="5"/>
  <c r="AH37" i="5"/>
  <c r="AI37" i="5"/>
  <c r="AI530" i="5"/>
  <c r="AH530" i="5"/>
  <c r="AI421" i="5"/>
  <c r="AH421" i="5"/>
  <c r="AI221" i="5"/>
  <c r="AH221" i="5"/>
  <c r="AH34" i="5"/>
  <c r="AI34" i="5"/>
  <c r="AI458" i="5"/>
  <c r="AH458" i="5"/>
  <c r="AH226" i="5"/>
  <c r="AI226" i="5"/>
  <c r="AI234" i="5"/>
  <c r="AH234" i="5"/>
  <c r="AH126" i="5"/>
  <c r="AI126" i="5"/>
  <c r="AH506" i="5"/>
  <c r="AI506" i="5"/>
  <c r="AI372" i="5"/>
  <c r="AH372" i="5"/>
  <c r="AI285" i="5"/>
  <c r="AH285" i="5"/>
  <c r="AH140" i="5"/>
  <c r="AI140" i="5"/>
  <c r="AI449" i="5"/>
  <c r="AH449" i="5"/>
  <c r="AI474" i="5"/>
  <c r="AH474" i="5"/>
  <c r="AI321" i="5"/>
  <c r="AH321" i="5"/>
  <c r="AI316" i="5"/>
  <c r="AH316" i="5"/>
  <c r="AI164" i="5"/>
  <c r="AH164" i="5"/>
  <c r="AI89" i="5"/>
  <c r="AH89" i="5"/>
  <c r="AN506" i="5"/>
  <c r="AO506" i="5"/>
  <c r="AO262" i="5"/>
  <c r="AO109" i="5"/>
  <c r="AN349" i="5"/>
  <c r="AO349" i="5"/>
  <c r="AN261" i="5"/>
  <c r="AO261" i="5"/>
  <c r="AO404" i="5"/>
  <c r="AN404" i="5"/>
  <c r="AO162" i="5"/>
  <c r="AM12" i="5"/>
  <c r="Q12" i="5"/>
  <c r="T12" i="5"/>
  <c r="AJ12" i="5"/>
  <c r="AG12" i="5"/>
  <c r="W12" i="5"/>
  <c r="AN477" i="5"/>
  <c r="AN505" i="5"/>
  <c r="AO505" i="5"/>
  <c r="AN70" i="5"/>
  <c r="AO70" i="5"/>
  <c r="AO136" i="5"/>
  <c r="AN136" i="5"/>
  <c r="U11" i="4"/>
  <c r="V92" i="4"/>
  <c r="V82" i="4"/>
  <c r="AS82" i="4"/>
  <c r="U82" i="4"/>
  <c r="V81" i="4"/>
  <c r="AS81" i="4"/>
  <c r="U81" i="4"/>
  <c r="AJ533" i="5"/>
  <c r="AH439" i="5"/>
  <c r="AI439" i="5"/>
  <c r="AI463" i="5"/>
  <c r="AH463" i="5"/>
  <c r="AJ351" i="5"/>
  <c r="AJ383" i="5"/>
  <c r="AO223" i="5"/>
  <c r="AN223" i="5"/>
  <c r="AJ263" i="5"/>
  <c r="AO135" i="5"/>
  <c r="AN135" i="5"/>
  <c r="AJ159" i="5"/>
  <c r="AJ191" i="5"/>
  <c r="AI55" i="5"/>
  <c r="AH55" i="5"/>
  <c r="AJ95" i="5"/>
  <c r="U129" i="5"/>
  <c r="U20" i="5"/>
  <c r="V20" i="5"/>
  <c r="U164" i="5"/>
  <c r="B51" i="2"/>
  <c r="B32" i="2" s="1"/>
  <c r="AJ448" i="5"/>
  <c r="AJ504" i="5"/>
  <c r="AJ376" i="5"/>
  <c r="AO224" i="5"/>
  <c r="AN224" i="5"/>
  <c r="AH256" i="5"/>
  <c r="AI256" i="5"/>
  <c r="AH296" i="5"/>
  <c r="AI296" i="5"/>
  <c r="AJ120" i="5"/>
  <c r="AJ176" i="5"/>
  <c r="AI216" i="5"/>
  <c r="AH216" i="5"/>
  <c r="U40" i="5"/>
  <c r="AJ112" i="5"/>
  <c r="AJ369" i="5"/>
  <c r="AJ281" i="5"/>
  <c r="AI473" i="5"/>
  <c r="AH473" i="5"/>
  <c r="AH363" i="5"/>
  <c r="AI363" i="5"/>
  <c r="AH99" i="5"/>
  <c r="AI99" i="5"/>
  <c r="AO185" i="5"/>
  <c r="AH259" i="5"/>
  <c r="AI259" i="5"/>
  <c r="AK379" i="5"/>
  <c r="AL379" i="5"/>
  <c r="AI451" i="5"/>
  <c r="AH451" i="5"/>
  <c r="AK169" i="5"/>
  <c r="AL169" i="5"/>
  <c r="AI81" i="5"/>
  <c r="AH81" i="5"/>
  <c r="AH499" i="5"/>
  <c r="AI499" i="5"/>
  <c r="AJ203" i="5"/>
  <c r="AJ395" i="5"/>
  <c r="AJ155" i="5"/>
  <c r="AN476" i="5"/>
  <c r="AO476" i="5"/>
  <c r="AI389" i="5"/>
  <c r="AH389" i="5"/>
  <c r="AI466" i="5"/>
  <c r="AH466" i="5"/>
  <c r="AH278" i="5"/>
  <c r="AI278" i="5"/>
  <c r="AI149" i="5"/>
  <c r="AH149" i="5"/>
  <c r="AH30" i="5"/>
  <c r="AI30" i="5"/>
  <c r="AI494" i="5"/>
  <c r="AH494" i="5"/>
  <c r="AI397" i="5"/>
  <c r="AH397" i="5"/>
  <c r="AH190" i="5"/>
  <c r="AI190" i="5"/>
  <c r="AI29" i="5"/>
  <c r="AH29" i="5"/>
  <c r="AI422" i="5"/>
  <c r="AH422" i="5"/>
  <c r="AI420" i="5"/>
  <c r="AH420" i="5"/>
  <c r="AH154" i="5"/>
  <c r="AI154" i="5"/>
  <c r="AH77" i="5"/>
  <c r="AI77" i="5"/>
  <c r="AI477" i="5"/>
  <c r="AH477" i="5"/>
  <c r="AI326" i="5"/>
  <c r="AH326" i="5"/>
  <c r="AH244" i="5"/>
  <c r="AI244" i="5"/>
  <c r="AH158" i="5"/>
  <c r="AI158" i="5"/>
  <c r="AI523" i="5"/>
  <c r="AH523" i="5"/>
  <c r="AH516" i="5"/>
  <c r="AI516" i="5"/>
  <c r="AI436" i="5"/>
  <c r="AH436" i="5"/>
  <c r="AH286" i="5"/>
  <c r="AI286" i="5"/>
  <c r="AI218" i="5"/>
  <c r="AH218" i="5"/>
  <c r="AH121" i="5"/>
  <c r="AI121" i="5"/>
  <c r="AN551" i="5"/>
  <c r="AO551" i="5"/>
  <c r="AN325" i="5"/>
  <c r="AO325" i="5"/>
  <c r="AN518" i="5"/>
  <c r="AO518" i="5"/>
  <c r="AN390" i="5"/>
  <c r="AO390" i="5"/>
  <c r="AN210" i="5"/>
  <c r="AO532" i="5"/>
  <c r="AN532" i="5"/>
  <c r="AN301" i="5"/>
  <c r="AN234" i="5"/>
  <c r="AO234" i="5"/>
  <c r="AN85" i="5"/>
  <c r="AO85" i="5"/>
  <c r="AN340" i="5"/>
  <c r="AO340" i="5"/>
  <c r="AN68" i="5"/>
  <c r="AO68" i="5"/>
  <c r="AS120" i="4"/>
  <c r="U120" i="4"/>
  <c r="V120" i="4"/>
  <c r="U53" i="4"/>
  <c r="U60" i="4"/>
  <c r="AS50" i="4"/>
  <c r="U50" i="4"/>
  <c r="AS13" i="4"/>
  <c r="AH553" i="5"/>
  <c r="AI553" i="5"/>
  <c r="AJ447" i="5"/>
  <c r="AJ479" i="5"/>
  <c r="AI419" i="5"/>
  <c r="AH419" i="5"/>
  <c r="AI351" i="5"/>
  <c r="AH351" i="5"/>
  <c r="AI383" i="5"/>
  <c r="AH383" i="5"/>
  <c r="AJ231" i="5"/>
  <c r="AN263" i="5"/>
  <c r="AO263" i="5"/>
  <c r="AH135" i="5"/>
  <c r="AI135" i="5"/>
  <c r="AJ199" i="5"/>
  <c r="AI31" i="5"/>
  <c r="AH31" i="5"/>
  <c r="U71" i="5"/>
  <c r="V71" i="5"/>
  <c r="V153" i="5"/>
  <c r="U153" i="5"/>
  <c r="V308" i="5"/>
  <c r="U308" i="5"/>
  <c r="V165" i="5"/>
  <c r="U165" i="5"/>
  <c r="V189" i="5"/>
  <c r="U189" i="5"/>
  <c r="U90" i="5"/>
  <c r="V90" i="5"/>
  <c r="AH448" i="5"/>
  <c r="AI448" i="5"/>
  <c r="AJ512" i="5"/>
  <c r="AJ384" i="5"/>
  <c r="AO232" i="5"/>
  <c r="AN232" i="5"/>
  <c r="AJ256" i="5"/>
  <c r="AH128" i="5"/>
  <c r="AI128" i="5"/>
  <c r="AH160" i="5"/>
  <c r="AI160" i="5"/>
  <c r="U184" i="5"/>
  <c r="V184" i="5"/>
  <c r="AO40" i="5"/>
  <c r="AN40" i="5"/>
  <c r="AH112" i="5"/>
  <c r="AI112" i="5"/>
  <c r="AN519" i="5"/>
  <c r="AO519" i="5"/>
  <c r="AN83" i="5"/>
  <c r="AO83" i="5"/>
  <c r="AI91" i="5"/>
  <c r="AH91" i="5"/>
  <c r="AK51" i="5"/>
  <c r="AL51" i="5"/>
  <c r="AN281" i="5"/>
  <c r="AO281" i="5"/>
  <c r="AH291" i="5"/>
  <c r="AI291" i="5"/>
  <c r="AJ26" i="5"/>
  <c r="AJ33" i="5"/>
  <c r="AJ34" i="5"/>
  <c r="AJ36" i="5"/>
  <c r="AJ65" i="5"/>
  <c r="AJ58" i="5"/>
  <c r="AJ70" i="5"/>
  <c r="AJ141" i="5"/>
  <c r="AJ102" i="5"/>
  <c r="AJ188" i="5"/>
  <c r="AJ148" i="5"/>
  <c r="AJ214" i="5"/>
  <c r="AJ241" i="5"/>
  <c r="AJ253" i="5"/>
  <c r="AJ294" i="5"/>
  <c r="AJ329" i="5"/>
  <c r="AJ251" i="5"/>
  <c r="AJ213" i="5"/>
  <c r="AJ270" i="5"/>
  <c r="AJ297" i="5"/>
  <c r="AJ246" i="5"/>
  <c r="AJ345" i="5"/>
  <c r="AJ370" i="5"/>
  <c r="AJ38" i="5"/>
  <c r="AJ68" i="5"/>
  <c r="AJ101" i="5"/>
  <c r="AJ138" i="5"/>
  <c r="AJ116" i="5"/>
  <c r="AJ133" i="5"/>
  <c r="AJ180" i="5"/>
  <c r="AJ242" i="5"/>
  <c r="AJ234" i="5"/>
  <c r="AJ189" i="5"/>
  <c r="AJ218" i="5"/>
  <c r="AJ298" i="5"/>
  <c r="AJ330" i="5"/>
  <c r="AJ254" i="5"/>
  <c r="AJ314" i="5"/>
  <c r="AJ221" i="5"/>
  <c r="AJ333" i="5"/>
  <c r="AJ346" i="5"/>
  <c r="AJ342" i="5"/>
  <c r="AJ378" i="5"/>
  <c r="AJ420" i="5"/>
  <c r="AJ396" i="5"/>
  <c r="AJ338" i="5"/>
  <c r="AJ446" i="5"/>
  <c r="AJ506" i="5"/>
  <c r="AJ502" i="5"/>
  <c r="AJ517" i="5"/>
  <c r="AJ542" i="5"/>
  <c r="AJ550" i="5"/>
  <c r="AJ528" i="5"/>
  <c r="AJ548" i="5"/>
  <c r="AJ486" i="5"/>
  <c r="AJ44" i="5"/>
  <c r="AJ42" i="5"/>
  <c r="AJ50" i="5"/>
  <c r="AJ74" i="5"/>
  <c r="AJ78" i="5"/>
  <c r="AJ109" i="5"/>
  <c r="AJ100" i="5"/>
  <c r="AJ118" i="5"/>
  <c r="AJ149" i="5"/>
  <c r="AJ110" i="5"/>
  <c r="AJ186" i="5"/>
  <c r="AJ165" i="5"/>
  <c r="AJ194" i="5"/>
  <c r="AJ222" i="5"/>
  <c r="AJ193" i="5"/>
  <c r="AJ269" i="5"/>
  <c r="AJ305" i="5"/>
  <c r="AJ177" i="5"/>
  <c r="AJ257" i="5"/>
  <c r="AJ293" i="5"/>
  <c r="AJ250" i="5"/>
  <c r="AJ277" i="5"/>
  <c r="AJ308" i="5"/>
  <c r="AJ340" i="5"/>
  <c r="AJ356" i="5"/>
  <c r="AJ412" i="5"/>
  <c r="AJ349" i="5"/>
  <c r="AJ394" i="5"/>
  <c r="AJ401" i="5"/>
  <c r="AJ385" i="5"/>
  <c r="AJ461" i="5"/>
  <c r="AJ482" i="5"/>
  <c r="AJ418" i="5"/>
  <c r="AJ508" i="5"/>
  <c r="AJ417" i="5"/>
  <c r="AJ442" i="5"/>
  <c r="AJ527" i="5"/>
  <c r="AJ547" i="5"/>
  <c r="AJ556" i="5"/>
  <c r="AJ535" i="5"/>
  <c r="AJ497" i="5"/>
  <c r="AJ46" i="5"/>
  <c r="AJ45" i="5"/>
  <c r="AJ54" i="5"/>
  <c r="AJ84" i="5"/>
  <c r="AJ130" i="5"/>
  <c r="AJ157" i="5"/>
  <c r="AJ114" i="5"/>
  <c r="AJ164" i="5"/>
  <c r="AJ156" i="5"/>
  <c r="AJ170" i="5"/>
  <c r="AJ205" i="5"/>
  <c r="AJ226" i="5"/>
  <c r="AJ197" i="5"/>
  <c r="AJ198" i="5"/>
  <c r="AJ310" i="5"/>
  <c r="AJ322" i="5"/>
  <c r="AJ252" i="5"/>
  <c r="AJ282" i="5"/>
  <c r="AJ357" i="5"/>
  <c r="AJ380" i="5"/>
  <c r="AJ413" i="5"/>
  <c r="AJ354" i="5"/>
  <c r="AJ300" i="5"/>
  <c r="AJ381" i="5"/>
  <c r="AJ428" i="5"/>
  <c r="AJ484" i="5"/>
  <c r="AJ454" i="5"/>
  <c r="AJ509" i="5"/>
  <c r="AJ421" i="5"/>
  <c r="AJ445" i="5"/>
  <c r="AJ485" i="5"/>
  <c r="AJ552" i="5"/>
  <c r="AJ452" i="5"/>
  <c r="AJ22" i="5"/>
  <c r="AJ20" i="5"/>
  <c r="AJ21" i="5"/>
  <c r="AJ52" i="5"/>
  <c r="AJ61" i="5"/>
  <c r="AJ60" i="5"/>
  <c r="AJ85" i="5"/>
  <c r="AJ125" i="5"/>
  <c r="AJ158" i="5"/>
  <c r="AJ132" i="5"/>
  <c r="AJ150" i="5"/>
  <c r="AJ166" i="5"/>
  <c r="AJ173" i="5"/>
  <c r="AJ228" i="5"/>
  <c r="AJ172" i="5"/>
  <c r="AJ236" i="5"/>
  <c r="AJ278" i="5"/>
  <c r="AJ317" i="5"/>
  <c r="AJ230" i="5"/>
  <c r="AJ301" i="5"/>
  <c r="AJ324" i="5"/>
  <c r="AJ258" i="5"/>
  <c r="AJ286" i="5"/>
  <c r="AJ316" i="5"/>
  <c r="AJ274" i="5"/>
  <c r="AJ358" i="5"/>
  <c r="AJ398" i="5"/>
  <c r="AJ382" i="5"/>
  <c r="AJ405" i="5"/>
  <c r="AJ429" i="5"/>
  <c r="AJ492" i="5"/>
  <c r="AJ523" i="5"/>
  <c r="AJ436" i="5"/>
  <c r="AJ510" i="5"/>
  <c r="AJ422" i="5"/>
  <c r="AJ490" i="5"/>
  <c r="AJ558" i="5"/>
  <c r="AJ462" i="5"/>
  <c r="AJ514" i="5"/>
  <c r="AJ28" i="5"/>
  <c r="AJ57" i="5"/>
  <c r="AJ82" i="5"/>
  <c r="AJ106" i="5"/>
  <c r="AJ134" i="5"/>
  <c r="AJ140" i="5"/>
  <c r="AJ179" i="5"/>
  <c r="AJ204" i="5"/>
  <c r="AJ237" i="5"/>
  <c r="AJ232" i="5"/>
  <c r="AJ321" i="5"/>
  <c r="AJ287" i="5"/>
  <c r="AJ267" i="5"/>
  <c r="AJ355" i="5"/>
  <c r="AJ377" i="5"/>
  <c r="AJ434" i="5"/>
  <c r="AJ388" i="5"/>
  <c r="AJ372" i="5"/>
  <c r="AJ352" i="5"/>
  <c r="AJ480" i="5"/>
  <c r="AJ373" i="5"/>
  <c r="AJ481" i="5"/>
  <c r="AJ266" i="5"/>
  <c r="AJ437" i="5"/>
  <c r="AJ526" i="5"/>
  <c r="AJ404" i="5"/>
  <c r="AJ530" i="5"/>
  <c r="AJ498" i="5"/>
  <c r="AJ19" i="5"/>
  <c r="O13" i="5"/>
  <c r="AJ23" i="5"/>
  <c r="AJ39" i="5"/>
  <c r="AJ62" i="5"/>
  <c r="AJ93" i="5"/>
  <c r="AJ117" i="5"/>
  <c r="AJ136" i="5"/>
  <c r="AJ151" i="5"/>
  <c r="AJ137" i="5"/>
  <c r="AJ25" i="5"/>
  <c r="AJ63" i="5"/>
  <c r="AJ75" i="5"/>
  <c r="AJ94" i="5"/>
  <c r="AJ126" i="5"/>
  <c r="AJ145" i="5"/>
  <c r="AJ154" i="5"/>
  <c r="AJ182" i="5"/>
  <c r="AJ219" i="5"/>
  <c r="AJ181" i="5"/>
  <c r="AJ243" i="5"/>
  <c r="AJ331" i="5"/>
  <c r="AJ309" i="5"/>
  <c r="AJ289" i="5"/>
  <c r="AJ296" i="5"/>
  <c r="AJ390" i="5"/>
  <c r="AJ336" i="5"/>
  <c r="AJ406" i="5"/>
  <c r="AJ387" i="5"/>
  <c r="AJ440" i="5"/>
  <c r="AJ500" i="5"/>
  <c r="AJ441" i="5"/>
  <c r="AJ494" i="5"/>
  <c r="AJ393" i="5"/>
  <c r="AJ458" i="5"/>
  <c r="AJ538" i="5"/>
  <c r="AJ532" i="5"/>
  <c r="AJ551" i="5"/>
  <c r="AJ555" i="5"/>
  <c r="AJ37" i="5"/>
  <c r="AJ69" i="5"/>
  <c r="AJ76" i="5"/>
  <c r="AJ104" i="5"/>
  <c r="AJ128" i="5"/>
  <c r="AJ80" i="5"/>
  <c r="AJ139" i="5"/>
  <c r="AJ184" i="5"/>
  <c r="AJ235" i="5"/>
  <c r="AJ192" i="5"/>
  <c r="AJ247" i="5"/>
  <c r="AJ248" i="5"/>
  <c r="AJ315" i="5"/>
  <c r="AJ292" i="5"/>
  <c r="AJ337" i="5"/>
  <c r="AJ392" i="5"/>
  <c r="AJ341" i="5"/>
  <c r="AJ415" i="5"/>
  <c r="AJ391" i="5"/>
  <c r="AJ444" i="5"/>
  <c r="AJ505" i="5"/>
  <c r="AJ443" i="5"/>
  <c r="AJ499" i="5"/>
  <c r="AJ402" i="5"/>
  <c r="AJ460" i="5"/>
  <c r="AJ540" i="5"/>
  <c r="AJ549" i="5"/>
  <c r="AJ554" i="5"/>
  <c r="AJ557" i="5"/>
  <c r="AJ29" i="5"/>
  <c r="AJ53" i="5"/>
  <c r="AJ77" i="5"/>
  <c r="AJ90" i="5"/>
  <c r="AJ146" i="5"/>
  <c r="AJ86" i="5"/>
  <c r="AJ168" i="5"/>
  <c r="AJ196" i="5"/>
  <c r="AJ238" i="5"/>
  <c r="AJ206" i="5"/>
  <c r="AJ262" i="5"/>
  <c r="AJ249" i="5"/>
  <c r="AJ332" i="5"/>
  <c r="AJ304" i="5"/>
  <c r="AJ344" i="5"/>
  <c r="AJ408" i="5"/>
  <c r="AJ348" i="5"/>
  <c r="AJ259" i="5"/>
  <c r="AJ397" i="5"/>
  <c r="AJ453" i="5"/>
  <c r="AJ511" i="5"/>
  <c r="AJ450" i="5"/>
  <c r="AJ503" i="5"/>
  <c r="AJ414" i="5"/>
  <c r="AJ472" i="5"/>
  <c r="AJ544" i="5"/>
  <c r="AJ559" i="5"/>
  <c r="AJ560" i="5"/>
  <c r="AJ474" i="5"/>
  <c r="AJ30" i="5"/>
  <c r="AJ66" i="5"/>
  <c r="AJ73" i="5"/>
  <c r="AJ92" i="5"/>
  <c r="AJ161" i="5"/>
  <c r="AJ108" i="5"/>
  <c r="AJ174" i="5"/>
  <c r="AJ124" i="5"/>
  <c r="AJ244" i="5"/>
  <c r="AJ209" i="5"/>
  <c r="AJ284" i="5"/>
  <c r="AJ255" i="5"/>
  <c r="AJ190" i="5"/>
  <c r="AJ319" i="5"/>
  <c r="AJ350" i="5"/>
  <c r="AJ419" i="5"/>
  <c r="AJ364" i="5"/>
  <c r="AJ323" i="5"/>
  <c r="AJ407" i="5"/>
  <c r="AJ470" i="5"/>
  <c r="AJ537" i="5"/>
  <c r="AJ463" i="5"/>
  <c r="AJ513" i="5"/>
  <c r="AJ424" i="5"/>
  <c r="AJ491" i="5"/>
  <c r="AJ261" i="5"/>
  <c r="AJ468" i="5"/>
  <c r="AJ471" i="5"/>
  <c r="AJ529" i="5"/>
  <c r="AJ41" i="5"/>
  <c r="AJ27" i="5"/>
  <c r="AJ91" i="5"/>
  <c r="AJ98" i="5"/>
  <c r="AJ87" i="5"/>
  <c r="AJ123" i="5"/>
  <c r="AJ185" i="5"/>
  <c r="AJ142" i="5"/>
  <c r="AJ202" i="5"/>
  <c r="AJ220" i="5"/>
  <c r="AJ290" i="5"/>
  <c r="AJ268" i="5"/>
  <c r="AJ245" i="5"/>
  <c r="AJ325" i="5"/>
  <c r="AJ363" i="5"/>
  <c r="AJ426" i="5"/>
  <c r="AJ366" i="5"/>
  <c r="AJ343" i="5"/>
  <c r="AJ409" i="5"/>
  <c r="AJ476" i="5"/>
  <c r="AJ288" i="5"/>
  <c r="AJ466" i="5"/>
  <c r="AJ518" i="5"/>
  <c r="AJ425" i="5"/>
  <c r="AJ496" i="5"/>
  <c r="AJ279" i="5"/>
  <c r="AJ516" i="5"/>
  <c r="AJ475" i="5"/>
  <c r="AJ543" i="5"/>
  <c r="AJ24" i="5"/>
  <c r="AJ49" i="5"/>
  <c r="AJ67" i="5"/>
  <c r="AJ103" i="5"/>
  <c r="AJ122" i="5"/>
  <c r="AJ129" i="5"/>
  <c r="AJ178" i="5"/>
  <c r="AJ162" i="5"/>
  <c r="AJ215" i="5"/>
  <c r="AJ229" i="5"/>
  <c r="AJ302" i="5"/>
  <c r="AJ275" i="5"/>
  <c r="AJ260" i="5"/>
  <c r="AJ334" i="5"/>
  <c r="AJ365" i="5"/>
  <c r="AJ427" i="5"/>
  <c r="AJ374" i="5"/>
  <c r="AJ362" i="5"/>
  <c r="AJ410" i="5"/>
  <c r="AJ477" i="5"/>
  <c r="AJ361" i="5"/>
  <c r="AJ469" i="5"/>
  <c r="AJ520" i="5"/>
  <c r="AJ433" i="5"/>
  <c r="AJ501" i="5"/>
  <c r="AJ285" i="5"/>
  <c r="AJ522" i="5"/>
  <c r="AJ478" i="5"/>
  <c r="AJ545" i="5"/>
  <c r="AJ212" i="5"/>
  <c r="AJ493" i="5"/>
  <c r="AJ389" i="5"/>
  <c r="AJ375" i="5"/>
  <c r="AJ210" i="5"/>
  <c r="AJ318" i="5"/>
  <c r="AJ456" i="5"/>
  <c r="AJ175" i="5"/>
  <c r="AJ400" i="5"/>
  <c r="AJ536" i="5"/>
  <c r="AJ208" i="5"/>
  <c r="AJ386" i="5"/>
  <c r="AJ524" i="5"/>
  <c r="AJ326" i="5"/>
  <c r="AJ430" i="5"/>
  <c r="AJ546" i="5"/>
  <c r="AJ306" i="5"/>
  <c r="AJ495" i="5"/>
  <c r="AJ531" i="5"/>
  <c r="AJ276" i="5"/>
  <c r="AJ438" i="5"/>
  <c r="AH337" i="5"/>
  <c r="AI337" i="5"/>
  <c r="AJ233" i="5"/>
  <c r="AJ507" i="5"/>
  <c r="AI97" i="5"/>
  <c r="AH97" i="5"/>
  <c r="AH497" i="5"/>
  <c r="AI497" i="5"/>
  <c r="AJ201" i="5"/>
  <c r="AJ435" i="5"/>
  <c r="AJ163" i="5"/>
  <c r="AO500" i="5"/>
  <c r="AN500" i="5"/>
  <c r="B47" i="2"/>
  <c r="B28" i="2" s="1"/>
  <c r="AI552" i="5"/>
  <c r="AH552" i="5"/>
  <c r="AH404" i="5"/>
  <c r="AI404" i="5"/>
  <c r="AI260" i="5"/>
  <c r="AH260" i="5"/>
  <c r="AI178" i="5"/>
  <c r="AH178" i="5"/>
  <c r="AH558" i="5"/>
  <c r="AI558" i="5"/>
  <c r="AI412" i="5"/>
  <c r="AH412" i="5"/>
  <c r="AI341" i="5"/>
  <c r="AH341" i="5"/>
  <c r="AI182" i="5"/>
  <c r="AH182" i="5"/>
  <c r="AH556" i="5"/>
  <c r="AI556" i="5"/>
  <c r="AI522" i="5"/>
  <c r="AH522" i="5"/>
  <c r="AI394" i="5"/>
  <c r="AH394" i="5"/>
  <c r="AH189" i="5"/>
  <c r="AI189" i="5"/>
  <c r="AI22" i="5"/>
  <c r="AH22" i="5"/>
  <c r="AI452" i="5"/>
  <c r="AH452" i="5"/>
  <c r="AI437" i="5"/>
  <c r="AH437" i="5"/>
  <c r="AH258" i="5"/>
  <c r="AI258" i="5"/>
  <c r="AH134" i="5"/>
  <c r="AI134" i="5"/>
  <c r="AI426" i="5"/>
  <c r="AH426" i="5"/>
  <c r="AI370" i="5"/>
  <c r="AH370" i="5"/>
  <c r="AH378" i="5"/>
  <c r="AI378" i="5"/>
  <c r="AI250" i="5"/>
  <c r="AH250" i="5"/>
  <c r="AI133" i="5"/>
  <c r="AH133" i="5"/>
  <c r="AI93" i="5"/>
  <c r="AH93" i="5"/>
  <c r="AO445" i="5"/>
  <c r="AN445" i="5"/>
  <c r="AN362" i="5"/>
  <c r="AO362" i="5"/>
  <c r="AO285" i="5"/>
  <c r="AN285" i="5"/>
  <c r="AN69" i="5"/>
  <c r="AO69" i="5"/>
  <c r="AO486" i="5"/>
  <c r="AN486" i="5"/>
  <c r="AN365" i="5"/>
  <c r="AO365" i="5"/>
  <c r="AO510" i="5"/>
  <c r="AN510" i="5"/>
  <c r="AN490" i="5"/>
  <c r="AO490" i="5"/>
  <c r="AN442" i="5"/>
  <c r="AN473" i="5"/>
  <c r="AO473" i="5"/>
  <c r="AO380" i="5"/>
  <c r="AN380" i="5"/>
  <c r="AN278" i="5"/>
  <c r="AO50" i="5"/>
  <c r="AN50" i="5"/>
  <c r="V151" i="4"/>
  <c r="V36" i="4"/>
  <c r="AS144" i="4"/>
  <c r="U144" i="4"/>
  <c r="V153" i="4"/>
  <c r="U131" i="4"/>
  <c r="AS138" i="4"/>
  <c r="U138" i="4"/>
  <c r="V138" i="4"/>
  <c r="AS41" i="4"/>
  <c r="V41" i="4"/>
  <c r="U41" i="4"/>
  <c r="AJ553" i="5"/>
  <c r="AI533" i="5"/>
  <c r="AH533" i="5"/>
  <c r="AO487" i="5"/>
  <c r="AN487" i="5"/>
  <c r="AN419" i="5"/>
  <c r="AO419" i="5"/>
  <c r="AJ359" i="5"/>
  <c r="AN383" i="5"/>
  <c r="AO383" i="5"/>
  <c r="AJ271" i="5"/>
  <c r="AI219" i="5"/>
  <c r="AH219" i="5"/>
  <c r="AJ135" i="5"/>
  <c r="AJ167" i="5"/>
  <c r="U31" i="5"/>
  <c r="V31" i="5"/>
  <c r="AN71" i="5"/>
  <c r="AO71" i="5"/>
  <c r="U217" i="5"/>
  <c r="V217" i="5"/>
  <c r="U110" i="5"/>
  <c r="V110" i="5"/>
  <c r="U124" i="5"/>
  <c r="V124" i="5"/>
  <c r="U158" i="5"/>
  <c r="V158" i="5"/>
  <c r="AI464" i="5"/>
  <c r="AH464" i="5"/>
  <c r="AI512" i="5"/>
  <c r="AH512" i="5"/>
  <c r="AH384" i="5"/>
  <c r="AI384" i="5"/>
  <c r="AI232" i="5"/>
  <c r="AH232" i="5"/>
  <c r="AH264" i="5"/>
  <c r="AI264" i="5"/>
  <c r="AI304" i="5"/>
  <c r="AH304" i="5"/>
  <c r="AO128" i="5"/>
  <c r="AN128" i="5"/>
  <c r="AJ160" i="5"/>
  <c r="AH184" i="5"/>
  <c r="AI184" i="5"/>
  <c r="AJ216" i="5"/>
  <c r="AI64" i="5"/>
  <c r="AH64" i="5"/>
  <c r="AH96" i="5"/>
  <c r="AI96" i="5"/>
  <c r="AJ449" i="5"/>
  <c r="AJ81" i="5"/>
  <c r="AI113" i="5"/>
  <c r="AH113" i="5"/>
  <c r="AJ515" i="5"/>
  <c r="AO324" i="5"/>
  <c r="AN324" i="5"/>
  <c r="AI476" i="5"/>
  <c r="AH476" i="5"/>
  <c r="AH202" i="5"/>
  <c r="AI202" i="5"/>
  <c r="AH214" i="5"/>
  <c r="AI214" i="5"/>
  <c r="AH146" i="5"/>
  <c r="AI146" i="5"/>
  <c r="AI454" i="5"/>
  <c r="AH454" i="5"/>
  <c r="AI402" i="5"/>
  <c r="AH402" i="5"/>
  <c r="AI356" i="5"/>
  <c r="AH356" i="5"/>
  <c r="AI118" i="5"/>
  <c r="AH118" i="5"/>
  <c r="AH365" i="5"/>
  <c r="AI365" i="5"/>
  <c r="AI493" i="5"/>
  <c r="AH493" i="5"/>
  <c r="AH330" i="5"/>
  <c r="AI330" i="5"/>
  <c r="AI157" i="5"/>
  <c r="AH157" i="5"/>
  <c r="AH20" i="5"/>
  <c r="AI20" i="5"/>
  <c r="AI517" i="5"/>
  <c r="AH517" i="5"/>
  <c r="AI406" i="5"/>
  <c r="AH406" i="5"/>
  <c r="AH332" i="5"/>
  <c r="AI332" i="5"/>
  <c r="AI101" i="5"/>
  <c r="AH101" i="5"/>
  <c r="AI536" i="5"/>
  <c r="AH536" i="5"/>
  <c r="AH510" i="5"/>
  <c r="AI510" i="5"/>
  <c r="AH284" i="5"/>
  <c r="AI284" i="5"/>
  <c r="AI324" i="5"/>
  <c r="AH324" i="5"/>
  <c r="AH165" i="5"/>
  <c r="AI165" i="5"/>
  <c r="AI66" i="5"/>
  <c r="AH66" i="5"/>
  <c r="AN540" i="5"/>
  <c r="AO540" i="5"/>
  <c r="AO370" i="5"/>
  <c r="AN370" i="5"/>
  <c r="AO189" i="5"/>
  <c r="AN189" i="5"/>
  <c r="AN66" i="5"/>
  <c r="AO66" i="5"/>
  <c r="AN498" i="5"/>
  <c r="AO498" i="5"/>
  <c r="AN258" i="5"/>
  <c r="AO258" i="5"/>
  <c r="AN133" i="5"/>
  <c r="AO133" i="5"/>
  <c r="AN482" i="5"/>
  <c r="AO482" i="5"/>
  <c r="AO348" i="5"/>
  <c r="AN348" i="5"/>
  <c r="AN253" i="5"/>
  <c r="AO253" i="5"/>
  <c r="AN93" i="5"/>
  <c r="AO93" i="5"/>
  <c r="AO560" i="5"/>
  <c r="AN560" i="5"/>
  <c r="AO222" i="5"/>
  <c r="AN222" i="5"/>
  <c r="AO82" i="5"/>
  <c r="AN82" i="5"/>
  <c r="AN31" i="5"/>
  <c r="AO31" i="5"/>
  <c r="V65" i="4"/>
  <c r="U65" i="4"/>
  <c r="U119" i="4"/>
  <c r="AS112" i="4"/>
  <c r="U112" i="4"/>
  <c r="V99" i="4"/>
  <c r="AS99" i="4"/>
  <c r="U99" i="4"/>
  <c r="AJ423" i="5"/>
  <c r="AI447" i="5"/>
  <c r="AH447" i="5"/>
  <c r="AJ487" i="5"/>
  <c r="AJ327" i="5"/>
  <c r="AI359" i="5"/>
  <c r="AH359" i="5"/>
  <c r="AJ399" i="5"/>
  <c r="AH239" i="5"/>
  <c r="AI239" i="5"/>
  <c r="AH287" i="5"/>
  <c r="AI287" i="5"/>
  <c r="AH143" i="5"/>
  <c r="AI143" i="5"/>
  <c r="AN167" i="5"/>
  <c r="AH199" i="5"/>
  <c r="AI199" i="5"/>
  <c r="AJ31" i="5"/>
  <c r="AJ71" i="5"/>
  <c r="AI103" i="5"/>
  <c r="AH103" i="5"/>
  <c r="V220" i="5"/>
  <c r="V213" i="5"/>
  <c r="V108" i="5"/>
  <c r="U163" i="5"/>
  <c r="V163" i="5"/>
  <c r="AJ534" i="5"/>
  <c r="AJ464" i="5"/>
  <c r="AO512" i="5"/>
  <c r="AI360" i="5"/>
  <c r="AH360" i="5"/>
  <c r="U240" i="5"/>
  <c r="V240" i="5"/>
  <c r="AO304" i="5"/>
  <c r="AN304" i="5"/>
  <c r="V128" i="5"/>
  <c r="U128" i="5"/>
  <c r="AH24" i="5"/>
  <c r="AI24" i="5"/>
  <c r="U72" i="5"/>
  <c r="V72" i="5"/>
  <c r="AN96" i="5"/>
  <c r="AO96" i="5"/>
  <c r="AH8" i="5"/>
  <c r="AI8" i="5"/>
  <c r="AJ473" i="5"/>
  <c r="AJ121" i="5"/>
  <c r="AJ89" i="5"/>
  <c r="AK483" i="5"/>
  <c r="AL283" i="5"/>
  <c r="AK283" i="5"/>
  <c r="AO449" i="5"/>
  <c r="AN449" i="5"/>
  <c r="AI491" i="5"/>
  <c r="AH491" i="5"/>
  <c r="AH131" i="5"/>
  <c r="AI131" i="5"/>
  <c r="AH521" i="5"/>
  <c r="AI521" i="5"/>
  <c r="AJ347" i="5"/>
  <c r="U75" i="5"/>
  <c r="V75" i="5"/>
  <c r="AH119" i="5"/>
  <c r="AI119" i="5"/>
  <c r="AI557" i="5"/>
  <c r="AH557" i="5"/>
  <c r="AJ265" i="5"/>
  <c r="AJ411" i="5"/>
  <c r="AJ291" i="5"/>
  <c r="AH531" i="5"/>
  <c r="AI531" i="5"/>
  <c r="AH398" i="5"/>
  <c r="AI398" i="5"/>
  <c r="AI222" i="5"/>
  <c r="AH222" i="5"/>
  <c r="AH148" i="5"/>
  <c r="AI148" i="5"/>
  <c r="AI444" i="5"/>
  <c r="AH444" i="5"/>
  <c r="AH410" i="5"/>
  <c r="AI410" i="5"/>
  <c r="AH261" i="5"/>
  <c r="AI261" i="5"/>
  <c r="AI142" i="5"/>
  <c r="AH142" i="5"/>
  <c r="AI520" i="5"/>
  <c r="AH520" i="5"/>
  <c r="AI450" i="5"/>
  <c r="AH450" i="5"/>
  <c r="AH354" i="5"/>
  <c r="AI354" i="5"/>
  <c r="AI181" i="5"/>
  <c r="AH181" i="5"/>
  <c r="AH21" i="5"/>
  <c r="AI21" i="5"/>
  <c r="AI485" i="5"/>
  <c r="AH485" i="5"/>
  <c r="AI382" i="5"/>
  <c r="AH382" i="5"/>
  <c r="AH306" i="5"/>
  <c r="AI306" i="5"/>
  <c r="AI94" i="5"/>
  <c r="AH94" i="5"/>
  <c r="AH542" i="5"/>
  <c r="AI542" i="5"/>
  <c r="AH438" i="5"/>
  <c r="AI438" i="5"/>
  <c r="AI345" i="5"/>
  <c r="AH345" i="5"/>
  <c r="AI301" i="5"/>
  <c r="AH301" i="5"/>
  <c r="AI153" i="5"/>
  <c r="AH153" i="5"/>
  <c r="AH65" i="5"/>
  <c r="AI65" i="5"/>
  <c r="AO485" i="5"/>
  <c r="AN485" i="5"/>
  <c r="AO334" i="5"/>
  <c r="AN29" i="5"/>
  <c r="AO29" i="5"/>
  <c r="AN426" i="5"/>
  <c r="AO426" i="5"/>
  <c r="AO454" i="5"/>
  <c r="AN454" i="5"/>
  <c r="AO286" i="5"/>
  <c r="AN286" i="5"/>
  <c r="AO421" i="5"/>
  <c r="AN421" i="5"/>
  <c r="AO341" i="5"/>
  <c r="AN341" i="5"/>
  <c r="AN474" i="5"/>
  <c r="AO474" i="5"/>
  <c r="AN79" i="5"/>
  <c r="AO79" i="5"/>
  <c r="AS147" i="4"/>
  <c r="U147" i="4"/>
  <c r="V147" i="4"/>
  <c r="V154" i="4"/>
  <c r="AS154" i="4"/>
  <c r="U154" i="4"/>
  <c r="AS16" i="4"/>
  <c r="V87" i="4"/>
  <c r="V80" i="4"/>
  <c r="AS80" i="4"/>
  <c r="U80" i="4"/>
  <c r="B223" i="2"/>
  <c r="B200" i="2"/>
  <c r="B212" i="2" s="1"/>
  <c r="H65" i="1" s="1"/>
  <c r="AH545" i="5"/>
  <c r="AI545" i="5"/>
  <c r="AJ455" i="5"/>
  <c r="AH487" i="5"/>
  <c r="AI487" i="5"/>
  <c r="AI327" i="5"/>
  <c r="AH327" i="5"/>
  <c r="AO359" i="5"/>
  <c r="AN359" i="5"/>
  <c r="AJ239" i="5"/>
  <c r="AO287" i="5"/>
  <c r="AN287" i="5"/>
  <c r="V127" i="5"/>
  <c r="U127" i="5"/>
  <c r="AN175" i="5"/>
  <c r="AO175" i="5"/>
  <c r="AJ207" i="5"/>
  <c r="AJ47" i="5"/>
  <c r="AH79" i="5"/>
  <c r="AI79" i="5"/>
  <c r="V111" i="5"/>
  <c r="U111" i="5"/>
  <c r="U202" i="5"/>
  <c r="V202" i="5"/>
  <c r="V157" i="5"/>
  <c r="U157" i="5"/>
  <c r="V238" i="5"/>
  <c r="U178" i="5"/>
  <c r="AN534" i="5"/>
  <c r="AO534" i="5"/>
  <c r="AJ488" i="5"/>
  <c r="AJ320" i="5"/>
  <c r="AN360" i="5"/>
  <c r="AO360" i="5"/>
  <c r="AN392" i="5"/>
  <c r="AO392" i="5"/>
  <c r="AI240" i="5"/>
  <c r="AH240" i="5"/>
  <c r="AJ264" i="5"/>
  <c r="AH312" i="5"/>
  <c r="AI312" i="5"/>
  <c r="U144" i="5"/>
  <c r="V144" i="5"/>
  <c r="U168" i="5"/>
  <c r="V168" i="5"/>
  <c r="AH192" i="5"/>
  <c r="AI192" i="5"/>
  <c r="AJ48" i="5"/>
  <c r="AJ72" i="5"/>
  <c r="AJ96" i="5"/>
  <c r="AJ489" i="5"/>
  <c r="AJ113" i="5"/>
  <c r="AL273" i="5"/>
  <c r="AK273" i="5"/>
  <c r="AN549" i="5"/>
  <c r="AO549" i="5"/>
  <c r="AI457" i="5"/>
  <c r="AH457" i="5"/>
  <c r="AO169" i="5"/>
  <c r="AN169" i="5"/>
  <c r="AI211" i="5"/>
  <c r="AH211" i="5"/>
  <c r="AJ83" i="5"/>
  <c r="AJ313" i="5"/>
  <c r="AH267" i="5"/>
  <c r="AI267" i="5"/>
  <c r="AI535" i="5"/>
  <c r="AH535" i="5"/>
  <c r="AJ353" i="5"/>
  <c r="B174" i="2"/>
  <c r="B175" i="2"/>
  <c r="H54" i="1"/>
  <c r="AJ299" i="5"/>
  <c r="AJ211" i="5"/>
  <c r="AI498" i="5"/>
  <c r="AH498" i="5"/>
  <c r="AI364" i="5"/>
  <c r="AH364" i="5"/>
  <c r="AH166" i="5"/>
  <c r="AI166" i="5"/>
  <c r="AH82" i="5"/>
  <c r="AI82" i="5"/>
  <c r="AI528" i="5"/>
  <c r="AH528" i="5"/>
  <c r="AH386" i="5"/>
  <c r="AI386" i="5"/>
  <c r="AH276" i="5"/>
  <c r="AI276" i="5"/>
  <c r="AH141" i="5"/>
  <c r="AI141" i="5"/>
  <c r="AH551" i="5"/>
  <c r="AI551" i="5"/>
  <c r="AI390" i="5"/>
  <c r="AH390" i="5"/>
  <c r="AI270" i="5"/>
  <c r="AH270" i="5"/>
  <c r="AI173" i="5"/>
  <c r="AH173" i="5"/>
  <c r="AI470" i="5"/>
  <c r="AH470" i="5"/>
  <c r="AI350" i="5"/>
  <c r="AH350" i="5"/>
  <c r="AH290" i="5"/>
  <c r="AI290" i="5"/>
  <c r="AH274" i="5"/>
  <c r="AI274" i="5"/>
  <c r="AI26" i="5"/>
  <c r="AH26" i="5"/>
  <c r="AI492" i="5"/>
  <c r="AH492" i="5"/>
  <c r="AI346" i="5"/>
  <c r="AH346" i="5"/>
  <c r="AI313" i="5"/>
  <c r="AH313" i="5"/>
  <c r="AI273" i="5"/>
  <c r="AH273" i="5"/>
  <c r="AI110" i="5"/>
  <c r="AH110" i="5"/>
  <c r="AH54" i="5"/>
  <c r="AI54" i="5"/>
  <c r="AO556" i="5"/>
  <c r="AN556" i="5"/>
  <c r="AN410" i="5"/>
  <c r="AO410" i="5"/>
  <c r="AO130" i="5"/>
  <c r="AN130" i="5"/>
  <c r="AN438" i="5"/>
  <c r="AO270" i="5"/>
  <c r="AN270" i="5"/>
  <c r="AO302" i="5"/>
  <c r="AN302" i="5"/>
  <c r="AO418" i="5"/>
  <c r="AN418" i="5"/>
  <c r="AO508" i="5"/>
  <c r="AN508" i="5"/>
  <c r="AO198" i="5"/>
  <c r="AN198" i="5"/>
  <c r="AN446" i="5"/>
  <c r="AO446" i="5"/>
  <c r="AS122" i="4"/>
  <c r="U122" i="4"/>
  <c r="U26" i="4"/>
  <c r="AJ525" i="5"/>
  <c r="AJ431" i="5"/>
  <c r="AH455" i="5"/>
  <c r="AI455" i="5"/>
  <c r="AN495" i="5"/>
  <c r="AO495" i="5"/>
  <c r="AJ335" i="5"/>
  <c r="AN367" i="5"/>
  <c r="AO367" i="5"/>
  <c r="AJ295" i="5"/>
  <c r="AJ127" i="5"/>
  <c r="AJ143" i="5"/>
  <c r="V175" i="5"/>
  <c r="U175" i="5"/>
  <c r="AO207" i="5"/>
  <c r="AN207" i="5"/>
  <c r="AJ79" i="5"/>
  <c r="U198" i="5"/>
  <c r="V198" i="5"/>
  <c r="U65" i="5"/>
  <c r="V65" i="5"/>
  <c r="U218" i="5"/>
  <c r="V218" i="5"/>
  <c r="V73" i="5"/>
  <c r="U73" i="5"/>
  <c r="U193" i="5"/>
  <c r="V193" i="5"/>
  <c r="U58" i="5"/>
  <c r="AH488" i="5"/>
  <c r="AI488" i="5"/>
  <c r="AJ360" i="5"/>
  <c r="AH392" i="5"/>
  <c r="AI392" i="5"/>
  <c r="AJ272" i="5"/>
  <c r="AJ312" i="5"/>
  <c r="AH144" i="5"/>
  <c r="AI144" i="5"/>
  <c r="AO32" i="5"/>
  <c r="AN32" i="5"/>
  <c r="AH48" i="5"/>
  <c r="AI48" i="5"/>
  <c r="AH72" i="5"/>
  <c r="AI72" i="5"/>
  <c r="V122" i="4"/>
  <c r="AI379" i="5"/>
  <c r="AH379" i="5"/>
  <c r="AH25" i="5"/>
  <c r="AI25" i="5"/>
  <c r="AH51" i="5"/>
  <c r="AI51" i="5"/>
  <c r="AL43" i="5"/>
  <c r="AK43" i="5"/>
  <c r="AO115" i="5"/>
  <c r="AN115" i="5"/>
  <c r="AI257" i="5"/>
  <c r="AH257" i="5"/>
  <c r="AJ107" i="5"/>
  <c r="AJ403" i="5"/>
  <c r="AO395" i="5"/>
  <c r="AN395" i="5"/>
  <c r="AH355" i="5"/>
  <c r="AI355" i="5"/>
  <c r="AH527" i="5"/>
  <c r="AI527" i="5"/>
  <c r="AJ467" i="5"/>
  <c r="AJ339" i="5"/>
  <c r="AJ119" i="5"/>
  <c r="AF539" i="5"/>
  <c r="AF448" i="5"/>
  <c r="AF467" i="5"/>
  <c r="AF256" i="5"/>
  <c r="AF511" i="5"/>
  <c r="AF248" i="5"/>
  <c r="AF298" i="5"/>
  <c r="AF444" i="5"/>
  <c r="AF281" i="5"/>
  <c r="AF398" i="5"/>
  <c r="AF523" i="5"/>
  <c r="AF526" i="5"/>
  <c r="AF293" i="5"/>
  <c r="AF207" i="5"/>
  <c r="AF81" i="5"/>
  <c r="AF455" i="5"/>
  <c r="AF364" i="5"/>
  <c r="AF313" i="5"/>
  <c r="AF128" i="5"/>
  <c r="AF544" i="5"/>
  <c r="AF488" i="5"/>
  <c r="AF473" i="5"/>
  <c r="AF459" i="5"/>
  <c r="AF434" i="5"/>
  <c r="AF306" i="5"/>
  <c r="AF272" i="5"/>
  <c r="AF205" i="5"/>
  <c r="AF132" i="5"/>
  <c r="AF27" i="5"/>
  <c r="AF525" i="5"/>
  <c r="AF520" i="5"/>
  <c r="AF512" i="5"/>
  <c r="AF516" i="5"/>
  <c r="AF320" i="5"/>
  <c r="AF265" i="5"/>
  <c r="AF304" i="5"/>
  <c r="AF173" i="5"/>
  <c r="AF64" i="5"/>
  <c r="AF46" i="5"/>
  <c r="AF93" i="5"/>
  <c r="AF167" i="5"/>
  <c r="AF213" i="5"/>
  <c r="AF266" i="5"/>
  <c r="AF288" i="5"/>
  <c r="AF331" i="5"/>
  <c r="AF393" i="5"/>
  <c r="AF383" i="5"/>
  <c r="AF413" i="5"/>
  <c r="AF490" i="5"/>
  <c r="AF79" i="5"/>
  <c r="AF155" i="5"/>
  <c r="AF186" i="5"/>
  <c r="AF194" i="5"/>
  <c r="AF311" i="5"/>
  <c r="AF247" i="5"/>
  <c r="AF277" i="5"/>
  <c r="AF257" i="5"/>
  <c r="AF335" i="5"/>
  <c r="AF406" i="5"/>
  <c r="AF134" i="5"/>
  <c r="AF117" i="5"/>
  <c r="AF74" i="5"/>
  <c r="AF40" i="5"/>
  <c r="AF130" i="5"/>
  <c r="AF121" i="5"/>
  <c r="AF160" i="5"/>
  <c r="AF75" i="5"/>
  <c r="AF44" i="5"/>
  <c r="AF7" i="5"/>
  <c r="AF9" i="5"/>
  <c r="AF430" i="5"/>
  <c r="AF362" i="5"/>
  <c r="AF514" i="5"/>
  <c r="AF316" i="5"/>
  <c r="AF461" i="5"/>
  <c r="AF318" i="5"/>
  <c r="AF228" i="5"/>
  <c r="AF478" i="5"/>
  <c r="AF250" i="5"/>
  <c r="AF513" i="5"/>
  <c r="AF500" i="5"/>
  <c r="AF485" i="5"/>
  <c r="AF330" i="5"/>
  <c r="AF157" i="5"/>
  <c r="AF70" i="5"/>
  <c r="AF426" i="5"/>
  <c r="AF377" i="5"/>
  <c r="AF227" i="5"/>
  <c r="AF54" i="5"/>
  <c r="AF518" i="5"/>
  <c r="AF429" i="5"/>
  <c r="AF463" i="5"/>
  <c r="AF439" i="5"/>
  <c r="AF397" i="5"/>
  <c r="AF208" i="5"/>
  <c r="AF215" i="5"/>
  <c r="AF240" i="5"/>
  <c r="AF144" i="5"/>
  <c r="AF550" i="5"/>
  <c r="AF451" i="5"/>
  <c r="AF506" i="5"/>
  <c r="AF498" i="5"/>
  <c r="AF496" i="5"/>
  <c r="AF402" i="5"/>
  <c r="AF350" i="5"/>
  <c r="AF278" i="5"/>
  <c r="AF159" i="5"/>
  <c r="AF63" i="5"/>
  <c r="AF33" i="5"/>
  <c r="AF116" i="5"/>
  <c r="AF164" i="5"/>
  <c r="AF225" i="5"/>
  <c r="AF279" i="5"/>
  <c r="AF303" i="5"/>
  <c r="AF352" i="5"/>
  <c r="AF409" i="5"/>
  <c r="AF404" i="5"/>
  <c r="AF336" i="5"/>
  <c r="AF39" i="5"/>
  <c r="AF96" i="5"/>
  <c r="AF127" i="5"/>
  <c r="AF216" i="5"/>
  <c r="AF203" i="5"/>
  <c r="AF327" i="5"/>
  <c r="AF268" i="5"/>
  <c r="AF324" i="5"/>
  <c r="AF295" i="5"/>
  <c r="AF357" i="5"/>
  <c r="AF433" i="5"/>
  <c r="AF182" i="5"/>
  <c r="AF107" i="5"/>
  <c r="AF78" i="5"/>
  <c r="AF42" i="5"/>
  <c r="AF172" i="5"/>
  <c r="AF103" i="5"/>
  <c r="AF142" i="5"/>
  <c r="AF35" i="5"/>
  <c r="AF37" i="5"/>
  <c r="AF12" i="5"/>
  <c r="AF471" i="5"/>
  <c r="AF243" i="5"/>
  <c r="AF517" i="5"/>
  <c r="AF199" i="5"/>
  <c r="AF437" i="5"/>
  <c r="AF235" i="5"/>
  <c r="AF510" i="5"/>
  <c r="AP510" i="5" s="1"/>
  <c r="AF483" i="5"/>
  <c r="AF146" i="5"/>
  <c r="AF559" i="5"/>
  <c r="AF446" i="5"/>
  <c r="AF412" i="5"/>
  <c r="AF285" i="5"/>
  <c r="AF91" i="5"/>
  <c r="AF560" i="5"/>
  <c r="AF468" i="5"/>
  <c r="AF332" i="5"/>
  <c r="AF226" i="5"/>
  <c r="AF55" i="5"/>
  <c r="AF541" i="5"/>
  <c r="AF545" i="5"/>
  <c r="AF432" i="5"/>
  <c r="AF536" i="5"/>
  <c r="AF389" i="5"/>
  <c r="AF372" i="5"/>
  <c r="AF261" i="5"/>
  <c r="AF187" i="5"/>
  <c r="AF109" i="5"/>
  <c r="AF549" i="5"/>
  <c r="AF499" i="5"/>
  <c r="AF476" i="5"/>
  <c r="AF462" i="5"/>
  <c r="AF435" i="5"/>
  <c r="AF309" i="5"/>
  <c r="AF275" i="5"/>
  <c r="AF210" i="5"/>
  <c r="AF136" i="5"/>
  <c r="AF28" i="5"/>
  <c r="AF71" i="5"/>
  <c r="AF153" i="5"/>
  <c r="AF179" i="5"/>
  <c r="AF177" i="5"/>
  <c r="AF308" i="5"/>
  <c r="AF234" i="5"/>
  <c r="AF274" i="5"/>
  <c r="AF254" i="5"/>
  <c r="AF334" i="5"/>
  <c r="AF403" i="5"/>
  <c r="AF41" i="5"/>
  <c r="AF106" i="5"/>
  <c r="AF181" i="5"/>
  <c r="AF178" i="5"/>
  <c r="AF237" i="5"/>
  <c r="AF259" i="5"/>
  <c r="AF305" i="5"/>
  <c r="AF368" i="5"/>
  <c r="AF347" i="5"/>
  <c r="AF384" i="5"/>
  <c r="AF458" i="5"/>
  <c r="AF143" i="5"/>
  <c r="AF124" i="5"/>
  <c r="AF66" i="5"/>
  <c r="AF211" i="5"/>
  <c r="AF122" i="5"/>
  <c r="AF147" i="5"/>
  <c r="AP147" i="5" s="1"/>
  <c r="AF99" i="5"/>
  <c r="AF53" i="5"/>
  <c r="AF36" i="5"/>
  <c r="AF13" i="5"/>
  <c r="AF537" i="5"/>
  <c r="AF540" i="5"/>
  <c r="AF415" i="5"/>
  <c r="AF151" i="5"/>
  <c r="AF501" i="5"/>
  <c r="AF180" i="5"/>
  <c r="AF547" i="5"/>
  <c r="AF408" i="5"/>
  <c r="AF24" i="5"/>
  <c r="AF548" i="5"/>
  <c r="AF223" i="5"/>
  <c r="AF338" i="5"/>
  <c r="AF319" i="5"/>
  <c r="AF92" i="5"/>
  <c r="AF502" i="5"/>
  <c r="AF424" i="5"/>
  <c r="AF428" i="5"/>
  <c r="AF233" i="5"/>
  <c r="AF67" i="5"/>
  <c r="AF557" i="5"/>
  <c r="AF528" i="5"/>
  <c r="AF345" i="5"/>
  <c r="AF527" i="5"/>
  <c r="AF363" i="5"/>
  <c r="AF340" i="5"/>
  <c r="AF328" i="5"/>
  <c r="AF220" i="5"/>
  <c r="AF98" i="5"/>
  <c r="AF538" i="5"/>
  <c r="AF431" i="5"/>
  <c r="AF465" i="5"/>
  <c r="AF452" i="5"/>
  <c r="AF400" i="5"/>
  <c r="AF239" i="5"/>
  <c r="AF218" i="5"/>
  <c r="AF139" i="5"/>
  <c r="AF150" i="5"/>
  <c r="AF32" i="5"/>
  <c r="AF87" i="5"/>
  <c r="AF114" i="5"/>
  <c r="AF209" i="5"/>
  <c r="AF202" i="5"/>
  <c r="AF325" i="5"/>
  <c r="AF267" i="5"/>
  <c r="AF301" i="5"/>
  <c r="AF283" i="5"/>
  <c r="AP283" i="5" s="1"/>
  <c r="AF346" i="5"/>
  <c r="AF425" i="5"/>
  <c r="AF60" i="5"/>
  <c r="AF148" i="5"/>
  <c r="AF137" i="5"/>
  <c r="AF195" i="5"/>
  <c r="AF246" i="5"/>
  <c r="AF271" i="5"/>
  <c r="AF326" i="5"/>
  <c r="AF386" i="5"/>
  <c r="AF369" i="5"/>
  <c r="AF399" i="5"/>
  <c r="AF475" i="5"/>
  <c r="AF115" i="5"/>
  <c r="AF104" i="5"/>
  <c r="AF47" i="5"/>
  <c r="AF189" i="5"/>
  <c r="AF184" i="5"/>
  <c r="AF133" i="5"/>
  <c r="AF100" i="5"/>
  <c r="AF30" i="5"/>
  <c r="AF45" i="5"/>
  <c r="AF11" i="5"/>
  <c r="AF534" i="5"/>
  <c r="AF531" i="5"/>
  <c r="AF337" i="5"/>
  <c r="AF494" i="5"/>
  <c r="AF382" i="5"/>
  <c r="AF89" i="5"/>
  <c r="AF551" i="5"/>
  <c r="AF373" i="5"/>
  <c r="AF553" i="5"/>
  <c r="AF552" i="5"/>
  <c r="AF480" i="5"/>
  <c r="AF375" i="5"/>
  <c r="AF258" i="5"/>
  <c r="AF23" i="5"/>
  <c r="AF535" i="5"/>
  <c r="AF533" i="5"/>
  <c r="AF355" i="5"/>
  <c r="AF242" i="5"/>
  <c r="AF20" i="5"/>
  <c r="AF508" i="5"/>
  <c r="AF519" i="5"/>
  <c r="AF507" i="5"/>
  <c r="AF515" i="5"/>
  <c r="AF314" i="5"/>
  <c r="AF260" i="5"/>
  <c r="AF299" i="5"/>
  <c r="AF82" i="5"/>
  <c r="AF29" i="5"/>
  <c r="AF443" i="5"/>
  <c r="AF374" i="5"/>
  <c r="AF454" i="5"/>
  <c r="AF423" i="5"/>
  <c r="AF263" i="5"/>
  <c r="AF407" i="5"/>
  <c r="AF300" i="5"/>
  <c r="AF222" i="5"/>
  <c r="AF111" i="5"/>
  <c r="AF34" i="5"/>
  <c r="AF84" i="5"/>
  <c r="AF145" i="5"/>
  <c r="AF229" i="5"/>
  <c r="AF214" i="5"/>
  <c r="AF171" i="5"/>
  <c r="AF284" i="5"/>
  <c r="AF349" i="5"/>
  <c r="AF312" i="5"/>
  <c r="AF370" i="5"/>
  <c r="AF436" i="5"/>
  <c r="AF49" i="5"/>
  <c r="AF102" i="5"/>
  <c r="AF175" i="5"/>
  <c r="AF217" i="5"/>
  <c r="AF270" i="5"/>
  <c r="AP270" i="5" s="1"/>
  <c r="AF291" i="5"/>
  <c r="AF341" i="5"/>
  <c r="AF396" i="5"/>
  <c r="AF385" i="5"/>
  <c r="AF416" i="5"/>
  <c r="AF174" i="5"/>
  <c r="AF88" i="5"/>
  <c r="AF95" i="5"/>
  <c r="AF65" i="5"/>
  <c r="AF158" i="5"/>
  <c r="AF169" i="5"/>
  <c r="AP169" i="5" s="1"/>
  <c r="AF125" i="5"/>
  <c r="AF83" i="5"/>
  <c r="AF58" i="5"/>
  <c r="AF482" i="5"/>
  <c r="AF487" i="5"/>
  <c r="AF90" i="5"/>
  <c r="AF481" i="5"/>
  <c r="AF280" i="5"/>
  <c r="AF19" i="5"/>
  <c r="AF294" i="5"/>
  <c r="AF356" i="5"/>
  <c r="AF421" i="5"/>
  <c r="AF310" i="5"/>
  <c r="AF59" i="5"/>
  <c r="AF492" i="5"/>
  <c r="AF365" i="5"/>
  <c r="AF190" i="5"/>
  <c r="AF73" i="5"/>
  <c r="AF191" i="5"/>
  <c r="AF302" i="5"/>
  <c r="AF418" i="5"/>
  <c r="AF77" i="5"/>
  <c r="AF230" i="5"/>
  <c r="AF290" i="5"/>
  <c r="AF249" i="5"/>
  <c r="AF149" i="5"/>
  <c r="AF21" i="5"/>
  <c r="AF105" i="5"/>
  <c r="AF245" i="5"/>
  <c r="AF427" i="5"/>
  <c r="AF555" i="5"/>
  <c r="AF543" i="5"/>
  <c r="AF391" i="5"/>
  <c r="AF509" i="5"/>
  <c r="AF286" i="5"/>
  <c r="AF530" i="5"/>
  <c r="AF491" i="5"/>
  <c r="AF296" i="5"/>
  <c r="AF50" i="5"/>
  <c r="AF440" i="5"/>
  <c r="AF353" i="5"/>
  <c r="AF224" i="5"/>
  <c r="AF94" i="5"/>
  <c r="AF236" i="5"/>
  <c r="AF321" i="5"/>
  <c r="AF380" i="5"/>
  <c r="AF86" i="5"/>
  <c r="AF238" i="5"/>
  <c r="AF358" i="5"/>
  <c r="AF371" i="5"/>
  <c r="AF131" i="5"/>
  <c r="AF192" i="5"/>
  <c r="AF85" i="5"/>
  <c r="AF445" i="5"/>
  <c r="AF505" i="5"/>
  <c r="AF495" i="5"/>
  <c r="AF469" i="5"/>
  <c r="AF262" i="5"/>
  <c r="AF479" i="5"/>
  <c r="AF176" i="5"/>
  <c r="AF322" i="5"/>
  <c r="AF460" i="5"/>
  <c r="AF276" i="5"/>
  <c r="AF493" i="5"/>
  <c r="AF420" i="5"/>
  <c r="AF376" i="5"/>
  <c r="AF108" i="5"/>
  <c r="AF126" i="5"/>
  <c r="AF231" i="5"/>
  <c r="AF252" i="5"/>
  <c r="AF395" i="5"/>
  <c r="AF123" i="5"/>
  <c r="AF219" i="5"/>
  <c r="AF255" i="5"/>
  <c r="AF348" i="5"/>
  <c r="AF156" i="5"/>
  <c r="AF168" i="5"/>
  <c r="AF97" i="5"/>
  <c r="AF10" i="5"/>
  <c r="AF521" i="5"/>
  <c r="AF417" i="5"/>
  <c r="AF366" i="5"/>
  <c r="AF556" i="5"/>
  <c r="AF197" i="5"/>
  <c r="AF504" i="5"/>
  <c r="AF161" i="5"/>
  <c r="AF503" i="5"/>
  <c r="AF419" i="5"/>
  <c r="AF241" i="5"/>
  <c r="AF542" i="5"/>
  <c r="AF477" i="5"/>
  <c r="AF342" i="5"/>
  <c r="AF101" i="5"/>
  <c r="AF135" i="5"/>
  <c r="AF201" i="5"/>
  <c r="AF367" i="5"/>
  <c r="AF388" i="5"/>
  <c r="AF140" i="5"/>
  <c r="AF282" i="5"/>
  <c r="AF354" i="5"/>
  <c r="AF394" i="5"/>
  <c r="AP394" i="5" s="1"/>
  <c r="AF57" i="5"/>
  <c r="AF152" i="5"/>
  <c r="AF48" i="5"/>
  <c r="AF31" i="5"/>
  <c r="AF453" i="5"/>
  <c r="AF438" i="5"/>
  <c r="AF387" i="5"/>
  <c r="AF470" i="5"/>
  <c r="AF212" i="5"/>
  <c r="AF497" i="5"/>
  <c r="AF68" i="5"/>
  <c r="AF484" i="5"/>
  <c r="AF390" i="5"/>
  <c r="AF221" i="5"/>
  <c r="AF558" i="5"/>
  <c r="AF359" i="5"/>
  <c r="AF317" i="5"/>
  <c r="AF80" i="5"/>
  <c r="AF170" i="5"/>
  <c r="AF292" i="5"/>
  <c r="AF381" i="5"/>
  <c r="AF456" i="5"/>
  <c r="AF120" i="5"/>
  <c r="AF297" i="5"/>
  <c r="AF410" i="5"/>
  <c r="AF442" i="5"/>
  <c r="AF61" i="5"/>
  <c r="AF138" i="5"/>
  <c r="AF76" i="5"/>
  <c r="AF8" i="5"/>
  <c r="AF273" i="5"/>
  <c r="AF289" i="5"/>
  <c r="AF329" i="5"/>
  <c r="AF457" i="5"/>
  <c r="AF113" i="5"/>
  <c r="AF447" i="5"/>
  <c r="AF524" i="5"/>
  <c r="AF449" i="5"/>
  <c r="AF351" i="5"/>
  <c r="AF185" i="5"/>
  <c r="AF546" i="5"/>
  <c r="AF532" i="5"/>
  <c r="AF264" i="5"/>
  <c r="AF51" i="5"/>
  <c r="AP51" i="5" s="1"/>
  <c r="AF119" i="5"/>
  <c r="AF253" i="5"/>
  <c r="AF441" i="5"/>
  <c r="AF472" i="5"/>
  <c r="AF166" i="5"/>
  <c r="AF183" i="5"/>
  <c r="AF193" i="5"/>
  <c r="AF118" i="5"/>
  <c r="AF69" i="5"/>
  <c r="AF141" i="5"/>
  <c r="AF72" i="5"/>
  <c r="AF522" i="5"/>
  <c r="AF287" i="5"/>
  <c r="AF379" i="5"/>
  <c r="AP379" i="5" s="1"/>
  <c r="AF206" i="5"/>
  <c r="AF378" i="5"/>
  <c r="AF165" i="5"/>
  <c r="AF414" i="5"/>
  <c r="AF489" i="5"/>
  <c r="AF486" i="5"/>
  <c r="AF405" i="5"/>
  <c r="AF188" i="5"/>
  <c r="AF554" i="5"/>
  <c r="AF464" i="5"/>
  <c r="AF333" i="5"/>
  <c r="AF26" i="5"/>
  <c r="AF200" i="5"/>
  <c r="AF269" i="5"/>
  <c r="AF343" i="5"/>
  <c r="AF43" i="5"/>
  <c r="AP43" i="5" s="1"/>
  <c r="AF204" i="5"/>
  <c r="AF307" i="5"/>
  <c r="AP307" i="5" s="1"/>
  <c r="AF315" i="5"/>
  <c r="AF162" i="5"/>
  <c r="AF52" i="5"/>
  <c r="AF154" i="5"/>
  <c r="AF62" i="5"/>
  <c r="AF466" i="5"/>
  <c r="AF196" i="5"/>
  <c r="AF339" i="5"/>
  <c r="AF450" i="5"/>
  <c r="AF422" i="5"/>
  <c r="AF129" i="5"/>
  <c r="AF360" i="5"/>
  <c r="AF401" i="5"/>
  <c r="AF474" i="5"/>
  <c r="AF344" i="5"/>
  <c r="AF110" i="5"/>
  <c r="AF529" i="5"/>
  <c r="AF392" i="5"/>
  <c r="AF244" i="5"/>
  <c r="AF56" i="5"/>
  <c r="AF251" i="5"/>
  <c r="AF323" i="5"/>
  <c r="AF361" i="5"/>
  <c r="AF38" i="5"/>
  <c r="AF232" i="5"/>
  <c r="AF198" i="5"/>
  <c r="AF411" i="5"/>
  <c r="AF163" i="5"/>
  <c r="AF25" i="5"/>
  <c r="AF112" i="5"/>
  <c r="AF22" i="5"/>
  <c r="AI462" i="5"/>
  <c r="AH462" i="5"/>
  <c r="AI338" i="5"/>
  <c r="AH338" i="5"/>
  <c r="AH245" i="5"/>
  <c r="AI245" i="5"/>
  <c r="AI70" i="5"/>
  <c r="AH70" i="5"/>
  <c r="AH486" i="5"/>
  <c r="AI486" i="5"/>
  <c r="AI340" i="5"/>
  <c r="AH340" i="5"/>
  <c r="AH210" i="5"/>
  <c r="AI210" i="5"/>
  <c r="AH78" i="5"/>
  <c r="AI78" i="5"/>
  <c r="AI524" i="5"/>
  <c r="AH524" i="5"/>
  <c r="AI381" i="5"/>
  <c r="AH381" i="5"/>
  <c r="AI205" i="5"/>
  <c r="AH205" i="5"/>
  <c r="AH138" i="5"/>
  <c r="AI138" i="5"/>
  <c r="AH428" i="5"/>
  <c r="AI428" i="5"/>
  <c r="AI418" i="5"/>
  <c r="AH418" i="5"/>
  <c r="AI348" i="5"/>
  <c r="AH348" i="5"/>
  <c r="AH252" i="5"/>
  <c r="AI252" i="5"/>
  <c r="AI45" i="5"/>
  <c r="AH45" i="5"/>
  <c r="AI380" i="5"/>
  <c r="AH380" i="5"/>
  <c r="AH417" i="5"/>
  <c r="AI417" i="5"/>
  <c r="AH281" i="5"/>
  <c r="AI281" i="5"/>
  <c r="AH233" i="5"/>
  <c r="AI233" i="5"/>
  <c r="AI130" i="5"/>
  <c r="AH130" i="5"/>
  <c r="AH42" i="5"/>
  <c r="AI42" i="5"/>
  <c r="AN520" i="5"/>
  <c r="AO520" i="5"/>
  <c r="AN346" i="5"/>
  <c r="AO346" i="5"/>
  <c r="AN458" i="5"/>
  <c r="AO458" i="5"/>
  <c r="AN298" i="5"/>
  <c r="AO298" i="5"/>
  <c r="AN389" i="5"/>
  <c r="AO389" i="5"/>
  <c r="AN204" i="5"/>
  <c r="AO204" i="5"/>
  <c r="AO28" i="5"/>
  <c r="AO493" i="5"/>
  <c r="AN493" i="5"/>
  <c r="AO338" i="5"/>
  <c r="AN338" i="5"/>
  <c r="AN141" i="5"/>
  <c r="AO141" i="5"/>
  <c r="AN394" i="5"/>
  <c r="AO394" i="5"/>
  <c r="AN110" i="5"/>
  <c r="AO110" i="5"/>
  <c r="AS83" i="4"/>
  <c r="U83" i="4"/>
  <c r="AS90" i="4"/>
  <c r="V90" i="4"/>
  <c r="U90" i="4"/>
  <c r="V156" i="4"/>
  <c r="AS156" i="4"/>
  <c r="U156" i="4"/>
  <c r="AS28" i="4"/>
  <c r="U28" i="4"/>
  <c r="V28" i="4"/>
  <c r="AS136" i="4"/>
  <c r="U136" i="4"/>
  <c r="V136" i="4"/>
  <c r="AH525" i="5"/>
  <c r="AI525" i="5"/>
  <c r="AI495" i="5"/>
  <c r="AH495" i="5"/>
  <c r="AH335" i="5"/>
  <c r="AI335" i="5"/>
  <c r="AJ367" i="5"/>
  <c r="AJ223" i="5"/>
  <c r="U255" i="5"/>
  <c r="V255" i="5"/>
  <c r="AJ303" i="5"/>
  <c r="AI127" i="5"/>
  <c r="AH127" i="5"/>
  <c r="AI159" i="5"/>
  <c r="AH159" i="5"/>
  <c r="AI175" i="5"/>
  <c r="AH175" i="5"/>
  <c r="AI47" i="5"/>
  <c r="AH47" i="5"/>
  <c r="AI87" i="5"/>
  <c r="AH87" i="5"/>
  <c r="AJ111" i="5"/>
  <c r="V179" i="5"/>
  <c r="U179" i="5"/>
  <c r="U49" i="5"/>
  <c r="V49" i="5"/>
  <c r="U68" i="5"/>
  <c r="V68" i="5"/>
  <c r="U148" i="5"/>
  <c r="V148" i="5"/>
  <c r="AJ7" i="5"/>
  <c r="AG7" i="5"/>
  <c r="AM7" i="5"/>
  <c r="T7" i="5"/>
  <c r="Q7" i="5"/>
  <c r="W7" i="5"/>
  <c r="AI432" i="5"/>
  <c r="AH432" i="5"/>
  <c r="AH496" i="5"/>
  <c r="AI496" i="5"/>
  <c r="AI328" i="5"/>
  <c r="AH328" i="5"/>
  <c r="AJ368" i="5"/>
  <c r="AJ416" i="5"/>
  <c r="AJ240" i="5"/>
  <c r="AI280" i="5"/>
  <c r="AH280" i="5"/>
  <c r="AO312" i="5"/>
  <c r="AJ144" i="5"/>
  <c r="AH176" i="5"/>
  <c r="AI176" i="5"/>
  <c r="U200" i="5"/>
  <c r="V200" i="5"/>
  <c r="AJ32" i="5"/>
  <c r="AJ56" i="5"/>
  <c r="AI104" i="5"/>
  <c r="AH104" i="5"/>
  <c r="V50" i="4"/>
  <c r="V131" i="4"/>
  <c r="AK187" i="5"/>
  <c r="AL187" i="5"/>
  <c r="AK521" i="5"/>
  <c r="AL521" i="5"/>
  <c r="AH129" i="5"/>
  <c r="AI129" i="5"/>
  <c r="AO235" i="5"/>
  <c r="AN235" i="5"/>
  <c r="AI283" i="5"/>
  <c r="AH283" i="5"/>
  <c r="AK147" i="5"/>
  <c r="AL147" i="5"/>
  <c r="AN41" i="5"/>
  <c r="AO41" i="5"/>
  <c r="AO459" i="5"/>
  <c r="AN459" i="5"/>
  <c r="AH387" i="5"/>
  <c r="AI387" i="5"/>
  <c r="AJ97" i="5"/>
  <c r="AJ459" i="5"/>
  <c r="AJ541" i="5"/>
  <c r="AJ35" i="5"/>
  <c r="AJ99" i="5"/>
  <c r="AJ8" i="5"/>
  <c r="AI560" i="5"/>
  <c r="AH560" i="5"/>
  <c r="AI434" i="5"/>
  <c r="AH434" i="5"/>
  <c r="AH300" i="5"/>
  <c r="AI300" i="5"/>
  <c r="AI194" i="5"/>
  <c r="AH194" i="5"/>
  <c r="AI58" i="5"/>
  <c r="AH58" i="5"/>
  <c r="AI460" i="5"/>
  <c r="AH460" i="5"/>
  <c r="AH262" i="5"/>
  <c r="AI262" i="5"/>
  <c r="AI314" i="5"/>
  <c r="AH314" i="5"/>
  <c r="AH69" i="5"/>
  <c r="AI69" i="5"/>
  <c r="AH302" i="5"/>
  <c r="AI302" i="5"/>
  <c r="AI333" i="5"/>
  <c r="AH333" i="5"/>
  <c r="AI238" i="5"/>
  <c r="AH238" i="5"/>
  <c r="AH109" i="5"/>
  <c r="AI109" i="5"/>
  <c r="AI540" i="5"/>
  <c r="AH540" i="5"/>
  <c r="AH405" i="5"/>
  <c r="AI405" i="5"/>
  <c r="AI318" i="5"/>
  <c r="AH318" i="5"/>
  <c r="AI212" i="5"/>
  <c r="AH212" i="5"/>
  <c r="AI544" i="5"/>
  <c r="AH544" i="5"/>
  <c r="AH548" i="5"/>
  <c r="AI548" i="5"/>
  <c r="AI396" i="5"/>
  <c r="AH396" i="5"/>
  <c r="AI237" i="5"/>
  <c r="AH237" i="5"/>
  <c r="AH229" i="5"/>
  <c r="AI229" i="5"/>
  <c r="AH92" i="5"/>
  <c r="AI92" i="5"/>
  <c r="AH38" i="5"/>
  <c r="AI38" i="5"/>
  <c r="AO434" i="5"/>
  <c r="AN434" i="5"/>
  <c r="AO306" i="5"/>
  <c r="AN306" i="5"/>
  <c r="AO122" i="5"/>
  <c r="AO354" i="5"/>
  <c r="AN354" i="5"/>
  <c r="AN282" i="5"/>
  <c r="AO282" i="5"/>
  <c r="AN293" i="5"/>
  <c r="AO293" i="5"/>
  <c r="AN205" i="5"/>
  <c r="AO205" i="5"/>
  <c r="AO514" i="5"/>
  <c r="AN514" i="5"/>
  <c r="AN206" i="5"/>
  <c r="AO206" i="5"/>
  <c r="AN149" i="5"/>
  <c r="AO149" i="5"/>
  <c r="AO530" i="5"/>
  <c r="AN530" i="5"/>
  <c r="AN422" i="5"/>
  <c r="AO422" i="5"/>
  <c r="AO332" i="5"/>
  <c r="AN332" i="5"/>
  <c r="AO105" i="5"/>
  <c r="AN105" i="5"/>
  <c r="V51" i="4"/>
  <c r="AS51" i="4"/>
  <c r="U51" i="4"/>
  <c r="AS117" i="4"/>
  <c r="V124" i="4"/>
  <c r="AS124" i="4"/>
  <c r="U124" i="4"/>
  <c r="AS107" i="4"/>
  <c r="U107" i="4"/>
  <c r="V107" i="4"/>
  <c r="AS114" i="4"/>
  <c r="U114" i="4"/>
  <c r="V104" i="4"/>
  <c r="AS104" i="4"/>
  <c r="U104" i="4"/>
  <c r="V113" i="4"/>
  <c r="AS113" i="4"/>
  <c r="U113" i="4"/>
  <c r="AO525" i="5"/>
  <c r="AN525" i="5"/>
  <c r="AJ439" i="5"/>
  <c r="AO463" i="5"/>
  <c r="AN463" i="5"/>
  <c r="AI223" i="5"/>
  <c r="AH223" i="5"/>
  <c r="AI255" i="5"/>
  <c r="AH255" i="5"/>
  <c r="AJ311" i="5"/>
  <c r="AN159" i="5"/>
  <c r="AO159" i="5"/>
  <c r="AJ183" i="5"/>
  <c r="AH23" i="5"/>
  <c r="AI23" i="5"/>
  <c r="AJ55" i="5"/>
  <c r="AO87" i="5"/>
  <c r="AN87" i="5"/>
  <c r="V278" i="5"/>
  <c r="U62" i="5"/>
  <c r="V62" i="5"/>
  <c r="U209" i="5"/>
  <c r="V209" i="5"/>
  <c r="U29" i="5"/>
  <c r="V29" i="5"/>
  <c r="AO554" i="5"/>
  <c r="AN554" i="5"/>
  <c r="AJ432" i="5"/>
  <c r="AJ328" i="5"/>
  <c r="AI368" i="5"/>
  <c r="AH368" i="5"/>
  <c r="AJ224" i="5"/>
  <c r="AN256" i="5"/>
  <c r="AO256" i="5"/>
  <c r="AJ280" i="5"/>
  <c r="U120" i="5"/>
  <c r="V120" i="5"/>
  <c r="AJ152" i="5"/>
  <c r="AO176" i="5"/>
  <c r="AJ200" i="5"/>
  <c r="AJ40" i="5"/>
  <c r="AI56" i="5"/>
  <c r="AH56" i="5"/>
  <c r="AJ88" i="5"/>
  <c r="AJ217" i="5"/>
  <c r="V114" i="4"/>
  <c r="U33" i="4" l="1"/>
  <c r="U58" i="4"/>
  <c r="U152" i="4"/>
  <c r="V149" i="4"/>
  <c r="V42" i="4"/>
  <c r="U15" i="4"/>
  <c r="U56" i="4"/>
  <c r="AS129" i="4"/>
  <c r="U135" i="4"/>
  <c r="AS148" i="4"/>
  <c r="U121" i="4"/>
  <c r="AH121" i="4" s="1"/>
  <c r="U72" i="4"/>
  <c r="AS43" i="4"/>
  <c r="AS22" i="4"/>
  <c r="AO112" i="5"/>
  <c r="AO335" i="5"/>
  <c r="AO195" i="5"/>
  <c r="AP227" i="5"/>
  <c r="AN536" i="5"/>
  <c r="AO211" i="5"/>
  <c r="AO164" i="5"/>
  <c r="AN457" i="5"/>
  <c r="AO147" i="5"/>
  <c r="AN413" i="5"/>
  <c r="AK307" i="5"/>
  <c r="AN265" i="5"/>
  <c r="AN437" i="5"/>
  <c r="AN296" i="5"/>
  <c r="AO92" i="5"/>
  <c r="AO326" i="5"/>
  <c r="AK153" i="5"/>
  <c r="AN484" i="5"/>
  <c r="AP521" i="5"/>
  <c r="AQ521" i="5" s="1"/>
  <c r="AN98" i="5"/>
  <c r="AN328" i="5"/>
  <c r="AO145" i="5"/>
  <c r="AN497" i="5"/>
  <c r="AL465" i="5"/>
  <c r="AO547" i="5"/>
  <c r="AN8" i="5"/>
  <c r="AN526" i="5"/>
  <c r="AN358" i="5"/>
  <c r="AO455" i="5"/>
  <c r="AO45" i="5"/>
  <c r="AN374" i="5"/>
  <c r="AO118" i="5"/>
  <c r="AN388" i="5"/>
  <c r="AN435" i="5"/>
  <c r="AN347" i="5"/>
  <c r="AH471" i="5"/>
  <c r="AI471" i="5"/>
  <c r="AI475" i="5"/>
  <c r="AH475" i="5"/>
  <c r="AP548" i="5"/>
  <c r="AQ548" i="5" s="1"/>
  <c r="AO431" i="5"/>
  <c r="AN200" i="5"/>
  <c r="AO423" i="5"/>
  <c r="AN53" i="5"/>
  <c r="AN172" i="5"/>
  <c r="AO543" i="5"/>
  <c r="AN289" i="5"/>
  <c r="AO23" i="5"/>
  <c r="AO125" i="5"/>
  <c r="AO521" i="5"/>
  <c r="AN194" i="5"/>
  <c r="AO197" i="5"/>
  <c r="AN249" i="5"/>
  <c r="AO496" i="5"/>
  <c r="AP540" i="5"/>
  <c r="AN220" i="5"/>
  <c r="AN430" i="5"/>
  <c r="AO274" i="5"/>
  <c r="AN219" i="5"/>
  <c r="AN294" i="5"/>
  <c r="AO372" i="5"/>
  <c r="AO26" i="5"/>
  <c r="AP192" i="5"/>
  <c r="AP516" i="5"/>
  <c r="AQ516" i="5" s="1"/>
  <c r="AN369" i="5"/>
  <c r="AO173" i="5"/>
  <c r="AP222" i="5"/>
  <c r="AQ222" i="5" s="1"/>
  <c r="AP133" i="5"/>
  <c r="AP26" i="5"/>
  <c r="AO320" i="5"/>
  <c r="AN47" i="5"/>
  <c r="AO186" i="5"/>
  <c r="AN356" i="5"/>
  <c r="AN231" i="5"/>
  <c r="AL539" i="5"/>
  <c r="AO299" i="5"/>
  <c r="AN546" i="5"/>
  <c r="AO343" i="5"/>
  <c r="AN178" i="5"/>
  <c r="AO127" i="5"/>
  <c r="AO228" i="5"/>
  <c r="AO192" i="5"/>
  <c r="AP382" i="5"/>
  <c r="AQ382" i="5" s="1"/>
  <c r="AP148" i="5"/>
  <c r="AP313" i="5"/>
  <c r="AO238" i="5"/>
  <c r="AN111" i="5"/>
  <c r="AO528" i="5"/>
  <c r="AN352" i="5"/>
  <c r="AP437" i="5"/>
  <c r="AQ437" i="5" s="1"/>
  <c r="AP141" i="5"/>
  <c r="AR141" i="5" s="1"/>
  <c r="AP356" i="5"/>
  <c r="AP386" i="5"/>
  <c r="AP234" i="5"/>
  <c r="AR234" i="5" s="1"/>
  <c r="AN62" i="5"/>
  <c r="AN311" i="5"/>
  <c r="AN103" i="5"/>
  <c r="AN221" i="5"/>
  <c r="AN385" i="5"/>
  <c r="AI479" i="5"/>
  <c r="AH479" i="5"/>
  <c r="U96" i="5"/>
  <c r="V132" i="5"/>
  <c r="U146" i="4"/>
  <c r="U92" i="4"/>
  <c r="V116" i="5"/>
  <c r="AN42" i="5"/>
  <c r="AP129" i="5"/>
  <c r="AP176" i="5"/>
  <c r="AP281" i="5"/>
  <c r="AR281" i="5" s="1"/>
  <c r="AP539" i="5"/>
  <c r="V122" i="5"/>
  <c r="AS89" i="4"/>
  <c r="U78" i="4"/>
  <c r="AH78" i="4" s="1"/>
  <c r="AO537" i="5"/>
  <c r="V112" i="4"/>
  <c r="AO48" i="5"/>
  <c r="AS88" i="4"/>
  <c r="V42" i="5"/>
  <c r="U32" i="4"/>
  <c r="AH32" i="4" s="1"/>
  <c r="AO552" i="5"/>
  <c r="AN318" i="5"/>
  <c r="AN538" i="5"/>
  <c r="U85" i="4"/>
  <c r="AN314" i="5"/>
  <c r="AS103" i="4"/>
  <c r="U19" i="4"/>
  <c r="AH19" i="4" s="1"/>
  <c r="AO488" i="5"/>
  <c r="U40" i="4"/>
  <c r="AS40" i="4"/>
  <c r="AS27" i="4"/>
  <c r="U64" i="4"/>
  <c r="AP202" i="5"/>
  <c r="U27" i="4"/>
  <c r="V89" i="4"/>
  <c r="AM89" i="4" s="1"/>
  <c r="AN89" i="4" s="1"/>
  <c r="V78" i="4"/>
  <c r="W78" i="4" s="1"/>
  <c r="Y78" i="4" s="1"/>
  <c r="AO322" i="5"/>
  <c r="U81" i="5"/>
  <c r="AS119" i="4"/>
  <c r="V277" i="5"/>
  <c r="U36" i="4"/>
  <c r="AH36" i="4" s="1"/>
  <c r="V216" i="5"/>
  <c r="AS32" i="4"/>
  <c r="AO492" i="5"/>
  <c r="AN142" i="5"/>
  <c r="V85" i="4"/>
  <c r="AM85" i="4" s="1"/>
  <c r="AN85" i="4" s="1"/>
  <c r="AS19" i="4"/>
  <c r="V23" i="4"/>
  <c r="V40" i="4"/>
  <c r="AM40" i="4" s="1"/>
  <c r="AN40" i="4" s="1"/>
  <c r="V27" i="4"/>
  <c r="AO283" i="5"/>
  <c r="V17" i="4"/>
  <c r="AM17" i="4" s="1"/>
  <c r="AN17" i="4" s="1"/>
  <c r="AN481" i="5"/>
  <c r="AO38" i="5"/>
  <c r="AP552" i="5"/>
  <c r="AR552" i="5" s="1"/>
  <c r="AP465" i="5"/>
  <c r="AP109" i="5"/>
  <c r="AP383" i="5"/>
  <c r="AQ383" i="5" s="1"/>
  <c r="AO168" i="5"/>
  <c r="V78" i="5"/>
  <c r="U89" i="4"/>
  <c r="AS78" i="4"/>
  <c r="AO174" i="5"/>
  <c r="V119" i="4"/>
  <c r="AN157" i="5"/>
  <c r="AS36" i="4"/>
  <c r="V32" i="4"/>
  <c r="AM32" i="4" s="1"/>
  <c r="AN32" i="4" s="1"/>
  <c r="V53" i="4"/>
  <c r="AM53" i="4" s="1"/>
  <c r="AN53" i="4" s="1"/>
  <c r="AN152" i="5"/>
  <c r="AS85" i="4"/>
  <c r="V69" i="4"/>
  <c r="V19" i="4"/>
  <c r="U23" i="4"/>
  <c r="AH23" i="4" s="1"/>
  <c r="U44" i="4"/>
  <c r="V113" i="5"/>
  <c r="U150" i="4"/>
  <c r="AS23" i="4"/>
  <c r="AS44" i="4"/>
  <c r="AN179" i="5"/>
  <c r="U88" i="4"/>
  <c r="U17" i="4"/>
  <c r="AH17" i="4" s="1"/>
  <c r="AP187" i="5"/>
  <c r="AR187" i="5" s="1"/>
  <c r="AS139" i="4"/>
  <c r="AN161" i="5"/>
  <c r="AO131" i="5"/>
  <c r="AO160" i="5"/>
  <c r="U153" i="4"/>
  <c r="U151" i="4"/>
  <c r="AN243" i="5"/>
  <c r="AO533" i="5"/>
  <c r="V13" i="4"/>
  <c r="AM13" i="4" s="1"/>
  <c r="AN13" i="4" s="1"/>
  <c r="AS53" i="4"/>
  <c r="AO156" i="5"/>
  <c r="V150" i="4"/>
  <c r="AM150" i="4" s="1"/>
  <c r="AN150" i="4" s="1"/>
  <c r="V137" i="4"/>
  <c r="U93" i="4"/>
  <c r="AO33" i="5"/>
  <c r="V44" i="4"/>
  <c r="AO284" i="5"/>
  <c r="V139" i="4"/>
  <c r="W139" i="4" s="1"/>
  <c r="Y139" i="4" s="1"/>
  <c r="AN72" i="5"/>
  <c r="V197" i="5"/>
  <c r="AS17" i="4"/>
  <c r="U139" i="4"/>
  <c r="V88" i="4"/>
  <c r="AM88" i="4" s="1"/>
  <c r="AN88" i="4" s="1"/>
  <c r="AS65" i="4"/>
  <c r="AS153" i="4"/>
  <c r="AS151" i="4"/>
  <c r="U13" i="4"/>
  <c r="AS92" i="4"/>
  <c r="AS150" i="4"/>
  <c r="U137" i="4"/>
  <c r="V93" i="4"/>
  <c r="AM93" i="4" s="1"/>
  <c r="AN93" i="4" s="1"/>
  <c r="AN259" i="5"/>
  <c r="S526" i="5"/>
  <c r="AO209" i="5"/>
  <c r="AN462" i="5"/>
  <c r="AP371" i="5"/>
  <c r="AQ371" i="5" s="1"/>
  <c r="AN240" i="5"/>
  <c r="V219" i="5"/>
  <c r="AN467" i="5"/>
  <c r="AS126" i="4"/>
  <c r="U38" i="4"/>
  <c r="AH38" i="4" s="1"/>
  <c r="V102" i="4"/>
  <c r="AM102" i="4" s="1"/>
  <c r="AN102" i="4" s="1"/>
  <c r="AO58" i="5"/>
  <c r="AN61" i="5"/>
  <c r="U77" i="5"/>
  <c r="AO132" i="5"/>
  <c r="AO114" i="5"/>
  <c r="AO106" i="5"/>
  <c r="V49" i="4"/>
  <c r="AM49" i="4" s="1"/>
  <c r="AN49" i="4" s="1"/>
  <c r="V47" i="4"/>
  <c r="AM47" i="4" s="1"/>
  <c r="AN47" i="4" s="1"/>
  <c r="AO433" i="5"/>
  <c r="U71" i="4"/>
  <c r="AH71" i="4" s="1"/>
  <c r="V91" i="4"/>
  <c r="AM91" i="4" s="1"/>
  <c r="AN91" i="4" s="1"/>
  <c r="V127" i="4"/>
  <c r="AM127" i="4" s="1"/>
  <c r="AN127" i="4" s="1"/>
  <c r="AS38" i="4"/>
  <c r="U141" i="4"/>
  <c r="AH141" i="4" s="1"/>
  <c r="U73" i="4"/>
  <c r="AH73" i="4" s="1"/>
  <c r="V29" i="4"/>
  <c r="AM29" i="4" s="1"/>
  <c r="AN29" i="4" s="1"/>
  <c r="AL371" i="5"/>
  <c r="AN81" i="5"/>
  <c r="AS97" i="4"/>
  <c r="U49" i="4"/>
  <c r="AH49" i="4" s="1"/>
  <c r="U86" i="5"/>
  <c r="AS47" i="4"/>
  <c r="AS71" i="4"/>
  <c r="AS111" i="4"/>
  <c r="U70" i="4"/>
  <c r="U127" i="4"/>
  <c r="AH127" i="4" s="1"/>
  <c r="V38" i="4"/>
  <c r="V136" i="5"/>
  <c r="AO491" i="5"/>
  <c r="AS11" i="4"/>
  <c r="V182" i="5"/>
  <c r="U29" i="4"/>
  <c r="AH29" i="4" s="1"/>
  <c r="AO24" i="5"/>
  <c r="AN384" i="5"/>
  <c r="AN444" i="5"/>
  <c r="AO447" i="5"/>
  <c r="AS49" i="4"/>
  <c r="V116" i="4"/>
  <c r="W116" i="4" s="1"/>
  <c r="V111" i="4"/>
  <c r="AM111" i="4" s="1"/>
  <c r="AN111" i="4" s="1"/>
  <c r="AN140" i="5"/>
  <c r="U100" i="4"/>
  <c r="AN267" i="5"/>
  <c r="AO555" i="5"/>
  <c r="V18" i="4"/>
  <c r="AM18" i="4" s="1"/>
  <c r="AN18" i="4" s="1"/>
  <c r="V97" i="4"/>
  <c r="W97" i="4" s="1"/>
  <c r="Y97" i="4" s="1"/>
  <c r="AS29" i="4"/>
  <c r="AO550" i="5"/>
  <c r="AP166" i="5"/>
  <c r="AQ166" i="5" s="1"/>
  <c r="AP65" i="5"/>
  <c r="U55" i="4"/>
  <c r="AN396" i="5"/>
  <c r="U97" i="4"/>
  <c r="AH97" i="4" s="1"/>
  <c r="V167" i="5"/>
  <c r="AN412" i="5"/>
  <c r="AO450" i="5"/>
  <c r="U116" i="4"/>
  <c r="AH116" i="4" s="1"/>
  <c r="U30" i="4"/>
  <c r="U111" i="4"/>
  <c r="AH111" i="4" s="1"/>
  <c r="AS100" i="4"/>
  <c r="AO504" i="5"/>
  <c r="AN65" i="5"/>
  <c r="AO49" i="5"/>
  <c r="AN557" i="5"/>
  <c r="Y365" i="5"/>
  <c r="U76" i="4"/>
  <c r="AP491" i="5"/>
  <c r="AR491" i="5" s="1"/>
  <c r="AS55" i="4"/>
  <c r="AO116" i="5"/>
  <c r="V103" i="5"/>
  <c r="AS60" i="4"/>
  <c r="AN397" i="5"/>
  <c r="AS116" i="4"/>
  <c r="V86" i="4"/>
  <c r="V100" i="4"/>
  <c r="AM100" i="4" s="1"/>
  <c r="AN100" i="4" s="1"/>
  <c r="AS70" i="4"/>
  <c r="U10" i="4"/>
  <c r="AH10" i="4" s="1"/>
  <c r="AS76" i="4"/>
  <c r="V55" i="4"/>
  <c r="AM55" i="4" s="1"/>
  <c r="AN55" i="4" s="1"/>
  <c r="V11" i="4"/>
  <c r="W11" i="4" s="1"/>
  <c r="Y11" i="4" s="1"/>
  <c r="Z11" i="4" s="1"/>
  <c r="V60" i="4"/>
  <c r="AM60" i="4" s="1"/>
  <c r="AN60" i="4" s="1"/>
  <c r="U68" i="4"/>
  <c r="V126" i="4"/>
  <c r="W126" i="4" s="1"/>
  <c r="X126" i="4" s="1"/>
  <c r="AJ126" i="4" s="1"/>
  <c r="U86" i="4"/>
  <c r="V30" i="4"/>
  <c r="AM30" i="4" s="1"/>
  <c r="AN30" i="4" s="1"/>
  <c r="V70" i="4"/>
  <c r="W70" i="4" s="1"/>
  <c r="Y70" i="4" s="1"/>
  <c r="Z70" i="4" s="1"/>
  <c r="U102" i="4"/>
  <c r="AH102" i="4" s="1"/>
  <c r="AO225" i="5"/>
  <c r="AP273" i="5"/>
  <c r="AR273" i="5" s="1"/>
  <c r="V23" i="5"/>
  <c r="AS25" i="4"/>
  <c r="V104" i="5"/>
  <c r="AO432" i="5"/>
  <c r="U48" i="4"/>
  <c r="AH48" i="4" s="1"/>
  <c r="AO252" i="5"/>
  <c r="AO264" i="5"/>
  <c r="V106" i="4"/>
  <c r="AM106" i="4" s="1"/>
  <c r="AN106" i="4" s="1"/>
  <c r="V46" i="5"/>
  <c r="AN199" i="5"/>
  <c r="AO56" i="5"/>
  <c r="AN406" i="5"/>
  <c r="AS52" i="4"/>
  <c r="AO212" i="5"/>
  <c r="AO88" i="5"/>
  <c r="V146" i="4"/>
  <c r="AM146" i="4" s="1"/>
  <c r="AN146" i="4" s="1"/>
  <c r="AP25" i="5"/>
  <c r="AP287" i="5"/>
  <c r="AR287" i="5" s="1"/>
  <c r="AP410" i="5"/>
  <c r="AQ410" i="5" s="1"/>
  <c r="AP135" i="5"/>
  <c r="AP380" i="5"/>
  <c r="AP153" i="5"/>
  <c r="AR153" i="5" s="1"/>
  <c r="AS48" i="4"/>
  <c r="U106" i="4"/>
  <c r="AH106" i="4" s="1"/>
  <c r="AS31" i="4"/>
  <c r="AO371" i="5"/>
  <c r="AN363" i="5"/>
  <c r="AP225" i="5"/>
  <c r="AO239" i="5"/>
  <c r="AN420" i="5"/>
  <c r="V60" i="5"/>
  <c r="V48" i="5"/>
  <c r="V147" i="5"/>
  <c r="V75" i="4"/>
  <c r="AM75" i="4" s="1"/>
  <c r="AN75" i="4" s="1"/>
  <c r="U95" i="4"/>
  <c r="AS146" i="4"/>
  <c r="AP105" i="5"/>
  <c r="V234" i="5"/>
  <c r="AP214" i="5"/>
  <c r="AP527" i="5"/>
  <c r="AQ527" i="5" s="1"/>
  <c r="AP199" i="5"/>
  <c r="AP250" i="5"/>
  <c r="AR250" i="5" s="1"/>
  <c r="AS110" i="4"/>
  <c r="U75" i="4"/>
  <c r="AH75" i="4" s="1"/>
  <c r="AS95" i="4"/>
  <c r="AO415" i="5"/>
  <c r="AN415" i="5"/>
  <c r="V74" i="4"/>
  <c r="AM74" i="4" s="1"/>
  <c r="AN74" i="4" s="1"/>
  <c r="U25" i="4"/>
  <c r="V110" i="4"/>
  <c r="W110" i="4" s="1"/>
  <c r="Y110" i="4" s="1"/>
  <c r="Z110" i="4" s="1"/>
  <c r="AL225" i="5"/>
  <c r="AO451" i="5"/>
  <c r="AN451" i="5"/>
  <c r="AS7" i="4"/>
  <c r="V118" i="4"/>
  <c r="AM118" i="4" s="1"/>
  <c r="AO331" i="5"/>
  <c r="AN331" i="5"/>
  <c r="AI388" i="5"/>
  <c r="AH388" i="5"/>
  <c r="AH331" i="5"/>
  <c r="AI331" i="5"/>
  <c r="AH52" i="5"/>
  <c r="AI52" i="5"/>
  <c r="AH263" i="5"/>
  <c r="AI263" i="5"/>
  <c r="AN51" i="5"/>
  <c r="AO51" i="5"/>
  <c r="AP556" i="5"/>
  <c r="AP58" i="5"/>
  <c r="AP175" i="5"/>
  <c r="AQ175" i="5" s="1"/>
  <c r="AP130" i="5"/>
  <c r="V25" i="4"/>
  <c r="AM25" i="4" s="1"/>
  <c r="AN25" i="4" s="1"/>
  <c r="U257" i="5"/>
  <c r="AS75" i="4"/>
  <c r="V63" i="4"/>
  <c r="S480" i="5"/>
  <c r="V35" i="4"/>
  <c r="AM35" i="4" s="1"/>
  <c r="AN35" i="4" s="1"/>
  <c r="V76" i="4"/>
  <c r="AM76" i="4" s="1"/>
  <c r="AN76" i="4" s="1"/>
  <c r="AI399" i="5"/>
  <c r="AH399" i="5"/>
  <c r="AH329" i="5"/>
  <c r="AI329" i="5"/>
  <c r="AO499" i="5"/>
  <c r="AN499" i="5"/>
  <c r="AP333" i="5"/>
  <c r="U63" i="4"/>
  <c r="AH63" i="4" s="1"/>
  <c r="AS35" i="4"/>
  <c r="V9" i="4"/>
  <c r="AM9" i="4" s="1"/>
  <c r="AN9" i="4" s="1"/>
  <c r="AI369" i="5"/>
  <c r="AH369" i="5"/>
  <c r="AI241" i="5"/>
  <c r="AH241" i="5"/>
  <c r="AH431" i="5"/>
  <c r="AI431" i="5"/>
  <c r="AN427" i="5"/>
  <c r="AO427" i="5"/>
  <c r="AN539" i="5"/>
  <c r="AO539" i="5"/>
  <c r="AP354" i="5"/>
  <c r="AQ354" i="5" s="1"/>
  <c r="AP450" i="5"/>
  <c r="AP324" i="5"/>
  <c r="U35" i="4"/>
  <c r="AH35" i="4" s="1"/>
  <c r="AS63" i="4"/>
  <c r="U12" i="4"/>
  <c r="AH12" i="4" s="1"/>
  <c r="U9" i="4"/>
  <c r="AO305" i="5"/>
  <c r="AH53" i="5"/>
  <c r="AI53" i="5"/>
  <c r="AI95" i="5"/>
  <c r="AH95" i="5"/>
  <c r="AI191" i="5"/>
  <c r="AH191" i="5"/>
  <c r="AN73" i="5"/>
  <c r="AO73" i="5"/>
  <c r="AP432" i="5"/>
  <c r="AQ432" i="5" s="1"/>
  <c r="AP69" i="5"/>
  <c r="AP390" i="5"/>
  <c r="AP178" i="5"/>
  <c r="AR178" i="5" s="1"/>
  <c r="AP355" i="5"/>
  <c r="AP217" i="5"/>
  <c r="AQ217" i="5" s="1"/>
  <c r="AP290" i="5"/>
  <c r="AP365" i="5"/>
  <c r="AQ365" i="5" s="1"/>
  <c r="AP396" i="5"/>
  <c r="AR396" i="5" s="1"/>
  <c r="AP314" i="5"/>
  <c r="AP301" i="5"/>
  <c r="AP528" i="5"/>
  <c r="AR528" i="5" s="1"/>
  <c r="AP173" i="5"/>
  <c r="U74" i="4"/>
  <c r="AH74" i="4" s="1"/>
  <c r="AS106" i="4"/>
  <c r="V31" i="4"/>
  <c r="AM31" i="4" s="1"/>
  <c r="AN31" i="4" s="1"/>
  <c r="U110" i="4"/>
  <c r="AP348" i="5"/>
  <c r="AP387" i="5"/>
  <c r="AK105" i="5"/>
  <c r="V123" i="4"/>
  <c r="AM123" i="4" s="1"/>
  <c r="AN123" i="4" s="1"/>
  <c r="R554" i="5"/>
  <c r="AS12" i="4"/>
  <c r="AS9" i="4"/>
  <c r="U84" i="4"/>
  <c r="AI543" i="5"/>
  <c r="AH543" i="5"/>
  <c r="AH150" i="5"/>
  <c r="AI150" i="5"/>
  <c r="AI43" i="5"/>
  <c r="AH43" i="5"/>
  <c r="AN313" i="5"/>
  <c r="AO313" i="5"/>
  <c r="AO108" i="5"/>
  <c r="AN108" i="5"/>
  <c r="AP494" i="5"/>
  <c r="AQ494" i="5" s="1"/>
  <c r="AP520" i="5"/>
  <c r="AP48" i="5"/>
  <c r="AR48" i="5" s="1"/>
  <c r="AP267" i="5"/>
  <c r="AP338" i="5"/>
  <c r="AQ338" i="5" s="1"/>
  <c r="AP332" i="5"/>
  <c r="AQ332" i="5" s="1"/>
  <c r="AP157" i="5"/>
  <c r="AP304" i="5"/>
  <c r="V48" i="4"/>
  <c r="AM48" i="4" s="1"/>
  <c r="AN48" i="4" s="1"/>
  <c r="AS74" i="4"/>
  <c r="U31" i="4"/>
  <c r="AH31" i="4" s="1"/>
  <c r="AP434" i="5"/>
  <c r="U7" i="4"/>
  <c r="AH7" i="4" s="1"/>
  <c r="U123" i="4"/>
  <c r="V52" i="4"/>
  <c r="W52" i="4" s="1"/>
  <c r="AN273" i="5"/>
  <c r="AO416" i="5"/>
  <c r="AH325" i="5"/>
  <c r="AI325" i="5"/>
  <c r="AI541" i="5"/>
  <c r="AH541" i="5"/>
  <c r="AP405" i="5"/>
  <c r="AQ405" i="5" s="1"/>
  <c r="AP212" i="5"/>
  <c r="AP461" i="5"/>
  <c r="V7" i="4"/>
  <c r="AM7" i="4" s="1"/>
  <c r="AN7" i="4" s="1"/>
  <c r="AS123" i="4"/>
  <c r="U52" i="4"/>
  <c r="AH52" i="4" s="1"/>
  <c r="V95" i="4"/>
  <c r="AH430" i="5"/>
  <c r="AI430" i="5"/>
  <c r="AI342" i="5"/>
  <c r="AH342" i="5"/>
  <c r="AN171" i="5"/>
  <c r="AO171" i="5"/>
  <c r="B24" i="2"/>
  <c r="R88" i="5"/>
  <c r="R328" i="5"/>
  <c r="Y65" i="5"/>
  <c r="Y135" i="5"/>
  <c r="Y181" i="5"/>
  <c r="Y416" i="5"/>
  <c r="X206" i="5"/>
  <c r="X204" i="5"/>
  <c r="X74" i="5"/>
  <c r="Z560" i="5"/>
  <c r="AA560" i="5" s="1"/>
  <c r="Z552" i="5"/>
  <c r="AB552" i="5" s="1"/>
  <c r="Z544" i="5"/>
  <c r="AB544" i="5" s="1"/>
  <c r="Z536" i="5"/>
  <c r="Z528" i="5"/>
  <c r="Z520" i="5"/>
  <c r="AB520" i="5" s="1"/>
  <c r="Z512" i="5"/>
  <c r="Z504" i="5"/>
  <c r="AB504" i="5" s="1"/>
  <c r="Z496" i="5"/>
  <c r="Z488" i="5"/>
  <c r="AB488" i="5" s="1"/>
  <c r="Z480" i="5"/>
  <c r="AB480" i="5" s="1"/>
  <c r="Z472" i="5"/>
  <c r="AA472" i="5" s="1"/>
  <c r="Z464" i="5"/>
  <c r="AA464" i="5" s="1"/>
  <c r="Z456" i="5"/>
  <c r="AA456" i="5" s="1"/>
  <c r="Z448" i="5"/>
  <c r="AA448" i="5" s="1"/>
  <c r="Z440" i="5"/>
  <c r="Z432" i="5"/>
  <c r="Z424" i="5"/>
  <c r="AB424" i="5" s="1"/>
  <c r="Z416" i="5"/>
  <c r="AA416" i="5" s="1"/>
  <c r="Z408" i="5"/>
  <c r="AB408" i="5" s="1"/>
  <c r="Z400" i="5"/>
  <c r="AA400" i="5" s="1"/>
  <c r="Z392" i="5"/>
  <c r="AB392" i="5" s="1"/>
  <c r="Z384" i="5"/>
  <c r="AA384" i="5" s="1"/>
  <c r="Z376" i="5"/>
  <c r="AB376" i="5" s="1"/>
  <c r="Z368" i="5"/>
  <c r="AA368" i="5" s="1"/>
  <c r="Z360" i="5"/>
  <c r="AA360" i="5" s="1"/>
  <c r="Z352" i="5"/>
  <c r="AB352" i="5" s="1"/>
  <c r="Z344" i="5"/>
  <c r="Z336" i="5"/>
  <c r="AB336" i="5" s="1"/>
  <c r="Z328" i="5"/>
  <c r="AB328" i="5" s="1"/>
  <c r="Z320" i="5"/>
  <c r="AA320" i="5" s="1"/>
  <c r="Z312" i="5"/>
  <c r="AA312" i="5" s="1"/>
  <c r="Z304" i="5"/>
  <c r="AB304" i="5" s="1"/>
  <c r="Z296" i="5"/>
  <c r="AB296" i="5" s="1"/>
  <c r="Z288" i="5"/>
  <c r="AA288" i="5" s="1"/>
  <c r="Z280" i="5"/>
  <c r="Z272" i="5"/>
  <c r="AA272" i="5" s="1"/>
  <c r="Z264" i="5"/>
  <c r="Z256" i="5"/>
  <c r="AB256" i="5" s="1"/>
  <c r="Z248" i="5"/>
  <c r="Z240" i="5"/>
  <c r="Z232" i="5"/>
  <c r="Z224" i="5"/>
  <c r="AB224" i="5" s="1"/>
  <c r="Z216" i="5"/>
  <c r="Z208" i="5"/>
  <c r="AA208" i="5" s="1"/>
  <c r="Z200" i="5"/>
  <c r="Z192" i="5"/>
  <c r="AB192" i="5" s="1"/>
  <c r="Z184" i="5"/>
  <c r="Z176" i="5"/>
  <c r="AB176" i="5" s="1"/>
  <c r="Z168" i="5"/>
  <c r="AB168" i="5" s="1"/>
  <c r="Z160" i="5"/>
  <c r="AB160" i="5" s="1"/>
  <c r="Z152" i="5"/>
  <c r="AB152" i="5" s="1"/>
  <c r="Z144" i="5"/>
  <c r="AA144" i="5" s="1"/>
  <c r="Z136" i="5"/>
  <c r="Z128" i="5"/>
  <c r="AA128" i="5" s="1"/>
  <c r="Z112" i="5"/>
  <c r="AA112" i="5" s="1"/>
  <c r="Z96" i="5"/>
  <c r="AA96" i="5" s="1"/>
  <c r="Z80" i="5"/>
  <c r="AA80" i="5" s="1"/>
  <c r="Z56" i="5"/>
  <c r="AB56" i="5" s="1"/>
  <c r="Z34" i="5"/>
  <c r="AA34" i="5" s="1"/>
  <c r="Z29" i="5"/>
  <c r="AB29" i="5" s="1"/>
  <c r="Z559" i="5"/>
  <c r="Z551" i="5"/>
  <c r="AB551" i="5" s="1"/>
  <c r="Z543" i="5"/>
  <c r="AB543" i="5" s="1"/>
  <c r="Z535" i="5"/>
  <c r="AA535" i="5" s="1"/>
  <c r="Z527" i="5"/>
  <c r="AA527" i="5" s="1"/>
  <c r="Z519" i="5"/>
  <c r="AB519" i="5" s="1"/>
  <c r="Z511" i="5"/>
  <c r="AA511" i="5" s="1"/>
  <c r="Z503" i="5"/>
  <c r="AB503" i="5" s="1"/>
  <c r="Z495" i="5"/>
  <c r="AB495" i="5" s="1"/>
  <c r="Z487" i="5"/>
  <c r="AA487" i="5" s="1"/>
  <c r="Z479" i="5"/>
  <c r="Z471" i="5"/>
  <c r="AA471" i="5" s="1"/>
  <c r="Z463" i="5"/>
  <c r="AA463" i="5" s="1"/>
  <c r="Z455" i="5"/>
  <c r="AB455" i="5" s="1"/>
  <c r="Z447" i="5"/>
  <c r="AA447" i="5" s="1"/>
  <c r="Z439" i="5"/>
  <c r="AA439" i="5" s="1"/>
  <c r="Z431" i="5"/>
  <c r="AA431" i="5" s="1"/>
  <c r="Z423" i="5"/>
  <c r="AB423" i="5" s="1"/>
  <c r="Z415" i="5"/>
  <c r="AB415" i="5" s="1"/>
  <c r="Z407" i="5"/>
  <c r="AB407" i="5" s="1"/>
  <c r="Z399" i="5"/>
  <c r="Z391" i="5"/>
  <c r="AB391" i="5" s="1"/>
  <c r="Z383" i="5"/>
  <c r="AB383" i="5" s="1"/>
  <c r="Z375" i="5"/>
  <c r="AB375" i="5" s="1"/>
  <c r="Z367" i="5"/>
  <c r="AA367" i="5" s="1"/>
  <c r="Z359" i="5"/>
  <c r="AA359" i="5" s="1"/>
  <c r="Z351" i="5"/>
  <c r="AA351" i="5" s="1"/>
  <c r="Z343" i="5"/>
  <c r="AB343" i="5" s="1"/>
  <c r="Z335" i="5"/>
  <c r="AA335" i="5" s="1"/>
  <c r="Z327" i="5"/>
  <c r="AA327" i="5" s="1"/>
  <c r="Z319" i="5"/>
  <c r="AB319" i="5" s="1"/>
  <c r="Z311" i="5"/>
  <c r="AB311" i="5" s="1"/>
  <c r="Z303" i="5"/>
  <c r="AB303" i="5" s="1"/>
  <c r="Z295" i="5"/>
  <c r="Z287" i="5"/>
  <c r="AA287" i="5" s="1"/>
  <c r="Z279" i="5"/>
  <c r="Z271" i="5"/>
  <c r="AA271" i="5" s="1"/>
  <c r="Z263" i="5"/>
  <c r="AB263" i="5" s="1"/>
  <c r="Z255" i="5"/>
  <c r="AA255" i="5" s="1"/>
  <c r="Z247" i="5"/>
  <c r="AA247" i="5" s="1"/>
  <c r="Z239" i="5"/>
  <c r="AB239" i="5" s="1"/>
  <c r="Z231" i="5"/>
  <c r="AB231" i="5" s="1"/>
  <c r="Z223" i="5"/>
  <c r="AB223" i="5" s="1"/>
  <c r="Z215" i="5"/>
  <c r="AA215" i="5" s="1"/>
  <c r="Z207" i="5"/>
  <c r="AB207" i="5" s="1"/>
  <c r="Z199" i="5"/>
  <c r="AB199" i="5" s="1"/>
  <c r="Z191" i="5"/>
  <c r="AA191" i="5" s="1"/>
  <c r="Z183" i="5"/>
  <c r="Z175" i="5"/>
  <c r="AB175" i="5" s="1"/>
  <c r="Z167" i="5"/>
  <c r="AB167" i="5" s="1"/>
  <c r="Z159" i="5"/>
  <c r="AA159" i="5" s="1"/>
  <c r="Z151" i="5"/>
  <c r="AA151" i="5" s="1"/>
  <c r="Z143" i="5"/>
  <c r="AA143" i="5" s="1"/>
  <c r="Z135" i="5"/>
  <c r="AA135" i="5" s="1"/>
  <c r="Z127" i="5"/>
  <c r="Z119" i="5"/>
  <c r="AB119" i="5" s="1"/>
  <c r="Z111" i="5"/>
  <c r="AB111" i="5" s="1"/>
  <c r="Z103" i="5"/>
  <c r="AA103" i="5" s="1"/>
  <c r="Z95" i="5"/>
  <c r="AB95" i="5" s="1"/>
  <c r="Z87" i="5"/>
  <c r="AB87" i="5" s="1"/>
  <c r="Z79" i="5"/>
  <c r="AB79" i="5" s="1"/>
  <c r="Z71" i="5"/>
  <c r="AA71" i="5" s="1"/>
  <c r="Z63" i="5"/>
  <c r="AB63" i="5" s="1"/>
  <c r="Z55" i="5"/>
  <c r="AB55" i="5" s="1"/>
  <c r="Z47" i="5"/>
  <c r="AB47" i="5" s="1"/>
  <c r="Z39" i="5"/>
  <c r="AA39" i="5" s="1"/>
  <c r="Z33" i="5"/>
  <c r="Z25" i="5"/>
  <c r="AA25" i="5" s="1"/>
  <c r="Z12" i="5"/>
  <c r="Z166" i="5"/>
  <c r="AA166" i="5" s="1"/>
  <c r="Z150" i="5"/>
  <c r="AA150" i="5" s="1"/>
  <c r="Z134" i="5"/>
  <c r="Z118" i="5"/>
  <c r="AB118" i="5" s="1"/>
  <c r="Z102" i="5"/>
  <c r="Z78" i="5"/>
  <c r="Z62" i="5"/>
  <c r="AB62" i="5" s="1"/>
  <c r="Z54" i="5"/>
  <c r="AA54" i="5" s="1"/>
  <c r="Z32" i="5"/>
  <c r="AB32" i="5" s="1"/>
  <c r="Z10" i="5"/>
  <c r="AB10" i="5" s="1"/>
  <c r="Z131" i="5"/>
  <c r="AA131" i="5" s="1"/>
  <c r="Z91" i="5"/>
  <c r="AA91" i="5" s="1"/>
  <c r="Z43" i="5"/>
  <c r="AB43" i="5" s="1"/>
  <c r="Z558" i="5"/>
  <c r="Z550" i="5"/>
  <c r="AB550" i="5" s="1"/>
  <c r="Z542" i="5"/>
  <c r="AA542" i="5" s="1"/>
  <c r="Z534" i="5"/>
  <c r="Z526" i="5"/>
  <c r="AA526" i="5" s="1"/>
  <c r="Z518" i="5"/>
  <c r="AB518" i="5" s="1"/>
  <c r="Z510" i="5"/>
  <c r="AB510" i="5" s="1"/>
  <c r="Z502" i="5"/>
  <c r="AB502" i="5" s="1"/>
  <c r="Z494" i="5"/>
  <c r="AB494" i="5" s="1"/>
  <c r="Z486" i="5"/>
  <c r="AB486" i="5" s="1"/>
  <c r="Z478" i="5"/>
  <c r="AB478" i="5" s="1"/>
  <c r="Z470" i="5"/>
  <c r="AB470" i="5" s="1"/>
  <c r="Z462" i="5"/>
  <c r="AB462" i="5" s="1"/>
  <c r="Z454" i="5"/>
  <c r="AB454" i="5" s="1"/>
  <c r="Z446" i="5"/>
  <c r="Z438" i="5"/>
  <c r="AB438" i="5" s="1"/>
  <c r="Z430" i="5"/>
  <c r="AA430" i="5" s="1"/>
  <c r="Z422" i="5"/>
  <c r="AB422" i="5" s="1"/>
  <c r="Z414" i="5"/>
  <c r="AB414" i="5" s="1"/>
  <c r="Z406" i="5"/>
  <c r="AA406" i="5" s="1"/>
  <c r="Z398" i="5"/>
  <c r="Z390" i="5"/>
  <c r="AA390" i="5" s="1"/>
  <c r="Z382" i="5"/>
  <c r="AB382" i="5" s="1"/>
  <c r="Z374" i="5"/>
  <c r="AB374" i="5" s="1"/>
  <c r="Z366" i="5"/>
  <c r="AA366" i="5" s="1"/>
  <c r="Z358" i="5"/>
  <c r="AB358" i="5" s="1"/>
  <c r="Z350" i="5"/>
  <c r="AA350" i="5" s="1"/>
  <c r="Z342" i="5"/>
  <c r="Z334" i="5"/>
  <c r="Z326" i="5"/>
  <c r="AA326" i="5" s="1"/>
  <c r="Z318" i="5"/>
  <c r="AB318" i="5" s="1"/>
  <c r="Z310" i="5"/>
  <c r="Z302" i="5"/>
  <c r="AA302" i="5" s="1"/>
  <c r="Z294" i="5"/>
  <c r="AB294" i="5" s="1"/>
  <c r="Z286" i="5"/>
  <c r="AB286" i="5" s="1"/>
  <c r="Z278" i="5"/>
  <c r="AA278" i="5" s="1"/>
  <c r="Z270" i="5"/>
  <c r="AA270" i="5" s="1"/>
  <c r="Z262" i="5"/>
  <c r="AA262" i="5" s="1"/>
  <c r="Z254" i="5"/>
  <c r="AA254" i="5" s="1"/>
  <c r="Z246" i="5"/>
  <c r="AA246" i="5" s="1"/>
  <c r="Z238" i="5"/>
  <c r="Z230" i="5"/>
  <c r="AA230" i="5" s="1"/>
  <c r="Z222" i="5"/>
  <c r="AB222" i="5" s="1"/>
  <c r="Z214" i="5"/>
  <c r="AA214" i="5" s="1"/>
  <c r="Z206" i="5"/>
  <c r="AA206" i="5" s="1"/>
  <c r="Z198" i="5"/>
  <c r="Z190" i="5"/>
  <c r="AB190" i="5" s="1"/>
  <c r="Z182" i="5"/>
  <c r="Z174" i="5"/>
  <c r="AA174" i="5" s="1"/>
  <c r="Z158" i="5"/>
  <c r="Z142" i="5"/>
  <c r="AB142" i="5" s="1"/>
  <c r="Z126" i="5"/>
  <c r="Z110" i="5"/>
  <c r="AA110" i="5" s="1"/>
  <c r="Z94" i="5"/>
  <c r="AA94" i="5" s="1"/>
  <c r="Z86" i="5"/>
  <c r="AA86" i="5" s="1"/>
  <c r="Z70" i="5"/>
  <c r="AB70" i="5" s="1"/>
  <c r="Z46" i="5"/>
  <c r="Z38" i="5"/>
  <c r="AA38" i="5" s="1"/>
  <c r="Z24" i="5"/>
  <c r="Z147" i="5"/>
  <c r="Z107" i="5"/>
  <c r="AB107" i="5" s="1"/>
  <c r="Z67" i="5"/>
  <c r="Z7" i="5"/>
  <c r="AB7" i="5" s="1"/>
  <c r="Z557" i="5"/>
  <c r="AA557" i="5" s="1"/>
  <c r="Z549" i="5"/>
  <c r="AB549" i="5" s="1"/>
  <c r="Z541" i="5"/>
  <c r="Z533" i="5"/>
  <c r="AA533" i="5" s="1"/>
  <c r="Z525" i="5"/>
  <c r="AA525" i="5" s="1"/>
  <c r="Z517" i="5"/>
  <c r="AB517" i="5" s="1"/>
  <c r="Z509" i="5"/>
  <c r="AA509" i="5" s="1"/>
  <c r="Z501" i="5"/>
  <c r="AB501" i="5" s="1"/>
  <c r="Z493" i="5"/>
  <c r="AA493" i="5" s="1"/>
  <c r="Z485" i="5"/>
  <c r="AA485" i="5" s="1"/>
  <c r="Z477" i="5"/>
  <c r="AA477" i="5" s="1"/>
  <c r="Z469" i="5"/>
  <c r="AA469" i="5" s="1"/>
  <c r="Z461" i="5"/>
  <c r="AB461" i="5" s="1"/>
  <c r="Z453" i="5"/>
  <c r="AA453" i="5" s="1"/>
  <c r="Z445" i="5"/>
  <c r="AB445" i="5" s="1"/>
  <c r="Z437" i="5"/>
  <c r="AA437" i="5" s="1"/>
  <c r="Z429" i="5"/>
  <c r="AA429" i="5" s="1"/>
  <c r="Z421" i="5"/>
  <c r="AA421" i="5" s="1"/>
  <c r="Z413" i="5"/>
  <c r="AA413" i="5" s="1"/>
  <c r="Z405" i="5"/>
  <c r="AB405" i="5" s="1"/>
  <c r="Z397" i="5"/>
  <c r="AB397" i="5" s="1"/>
  <c r="Z389" i="5"/>
  <c r="AA389" i="5" s="1"/>
  <c r="Z381" i="5"/>
  <c r="Z373" i="5"/>
  <c r="AB373" i="5" s="1"/>
  <c r="Z365" i="5"/>
  <c r="Z357" i="5"/>
  <c r="AA357" i="5" s="1"/>
  <c r="Z349" i="5"/>
  <c r="Z341" i="5"/>
  <c r="AA341" i="5" s="1"/>
  <c r="Z333" i="5"/>
  <c r="AB333" i="5" s="1"/>
  <c r="Z325" i="5"/>
  <c r="Z317" i="5"/>
  <c r="AB317" i="5" s="1"/>
  <c r="Z309" i="5"/>
  <c r="AA309" i="5" s="1"/>
  <c r="Z301" i="5"/>
  <c r="AA301" i="5" s="1"/>
  <c r="Z293" i="5"/>
  <c r="AA293" i="5" s="1"/>
  <c r="Z285" i="5"/>
  <c r="Z277" i="5"/>
  <c r="AB277" i="5" s="1"/>
  <c r="Z269" i="5"/>
  <c r="AB269" i="5" s="1"/>
  <c r="Z261" i="5"/>
  <c r="AA261" i="5" s="1"/>
  <c r="Z253" i="5"/>
  <c r="Z245" i="5"/>
  <c r="Z237" i="5"/>
  <c r="Z229" i="5"/>
  <c r="Z221" i="5"/>
  <c r="AB221" i="5" s="1"/>
  <c r="Z213" i="5"/>
  <c r="AB213" i="5" s="1"/>
  <c r="Z205" i="5"/>
  <c r="AB205" i="5" s="1"/>
  <c r="Z197" i="5"/>
  <c r="Z189" i="5"/>
  <c r="AA189" i="5" s="1"/>
  <c r="Z181" i="5"/>
  <c r="AA181" i="5" s="1"/>
  <c r="Z173" i="5"/>
  <c r="Z165" i="5"/>
  <c r="AA165" i="5" s="1"/>
  <c r="Z157" i="5"/>
  <c r="AB157" i="5" s="1"/>
  <c r="Z149" i="5"/>
  <c r="AB149" i="5" s="1"/>
  <c r="Z141" i="5"/>
  <c r="Z133" i="5"/>
  <c r="Z125" i="5"/>
  <c r="AB125" i="5" s="1"/>
  <c r="Z117" i="5"/>
  <c r="AA117" i="5" s="1"/>
  <c r="Z109" i="5"/>
  <c r="AA109" i="5" s="1"/>
  <c r="Z101" i="5"/>
  <c r="AA101" i="5" s="1"/>
  <c r="Z93" i="5"/>
  <c r="AA93" i="5" s="1"/>
  <c r="Z85" i="5"/>
  <c r="AA85" i="5" s="1"/>
  <c r="Z77" i="5"/>
  <c r="AA77" i="5" s="1"/>
  <c r="Z69" i="5"/>
  <c r="AB69" i="5" s="1"/>
  <c r="Z61" i="5"/>
  <c r="AA61" i="5" s="1"/>
  <c r="Z53" i="5"/>
  <c r="AB53" i="5" s="1"/>
  <c r="Z45" i="5"/>
  <c r="Z37" i="5"/>
  <c r="AA37" i="5" s="1"/>
  <c r="Z31" i="5"/>
  <c r="AA31" i="5" s="1"/>
  <c r="Z23" i="5"/>
  <c r="AB23" i="5" s="1"/>
  <c r="Z148" i="5"/>
  <c r="AB148" i="5" s="1"/>
  <c r="Z132" i="5"/>
  <c r="AA132" i="5" s="1"/>
  <c r="Z124" i="5"/>
  <c r="AA124" i="5" s="1"/>
  <c r="Z108" i="5"/>
  <c r="AB108" i="5" s="1"/>
  <c r="Z92" i="5"/>
  <c r="AA92" i="5" s="1"/>
  <c r="Z84" i="5"/>
  <c r="AB84" i="5" s="1"/>
  <c r="Z68" i="5"/>
  <c r="Z52" i="5"/>
  <c r="AB52" i="5" s="1"/>
  <c r="Z36" i="5"/>
  <c r="AB36" i="5" s="1"/>
  <c r="Z22" i="5"/>
  <c r="Z171" i="5"/>
  <c r="AA171" i="5" s="1"/>
  <c r="Z139" i="5"/>
  <c r="AA139" i="5" s="1"/>
  <c r="Z123" i="5"/>
  <c r="AA123" i="5" s="1"/>
  <c r="Z83" i="5"/>
  <c r="AA83" i="5" s="1"/>
  <c r="Z51" i="5"/>
  <c r="AA51" i="5" s="1"/>
  <c r="Z556" i="5"/>
  <c r="Z548" i="5"/>
  <c r="AB548" i="5" s="1"/>
  <c r="Z540" i="5"/>
  <c r="AB540" i="5" s="1"/>
  <c r="Z532" i="5"/>
  <c r="AA532" i="5" s="1"/>
  <c r="Z524" i="5"/>
  <c r="AA524" i="5" s="1"/>
  <c r="Z516" i="5"/>
  <c r="AB516" i="5" s="1"/>
  <c r="Z508" i="5"/>
  <c r="Z500" i="5"/>
  <c r="Z492" i="5"/>
  <c r="AB492" i="5" s="1"/>
  <c r="Z484" i="5"/>
  <c r="AB484" i="5" s="1"/>
  <c r="Z476" i="5"/>
  <c r="Z468" i="5"/>
  <c r="AB468" i="5" s="1"/>
  <c r="Z460" i="5"/>
  <c r="AA460" i="5" s="1"/>
  <c r="Z452" i="5"/>
  <c r="AA452" i="5" s="1"/>
  <c r="Z444" i="5"/>
  <c r="AB444" i="5" s="1"/>
  <c r="Z436" i="5"/>
  <c r="AA436" i="5" s="1"/>
  <c r="Z428" i="5"/>
  <c r="AB428" i="5" s="1"/>
  <c r="Z420" i="5"/>
  <c r="AB420" i="5" s="1"/>
  <c r="Z412" i="5"/>
  <c r="AA412" i="5" s="1"/>
  <c r="Z404" i="5"/>
  <c r="AB404" i="5" s="1"/>
  <c r="Z396" i="5"/>
  <c r="AA396" i="5" s="1"/>
  <c r="Z388" i="5"/>
  <c r="AA388" i="5" s="1"/>
  <c r="Z380" i="5"/>
  <c r="AA380" i="5" s="1"/>
  <c r="Z372" i="5"/>
  <c r="AB372" i="5" s="1"/>
  <c r="Z364" i="5"/>
  <c r="AB364" i="5" s="1"/>
  <c r="Z356" i="5"/>
  <c r="AA356" i="5" s="1"/>
  <c r="Z348" i="5"/>
  <c r="AA348" i="5" s="1"/>
  <c r="Z340" i="5"/>
  <c r="AB340" i="5" s="1"/>
  <c r="Z332" i="5"/>
  <c r="AA332" i="5" s="1"/>
  <c r="Z324" i="5"/>
  <c r="AB324" i="5" s="1"/>
  <c r="Z316" i="5"/>
  <c r="AA316" i="5" s="1"/>
  <c r="Z308" i="5"/>
  <c r="Z300" i="5"/>
  <c r="Z292" i="5"/>
  <c r="AA292" i="5" s="1"/>
  <c r="Z284" i="5"/>
  <c r="AB284" i="5" s="1"/>
  <c r="Z276" i="5"/>
  <c r="AB276" i="5" s="1"/>
  <c r="Z268" i="5"/>
  <c r="AA268" i="5" s="1"/>
  <c r="Z260" i="5"/>
  <c r="AB260" i="5" s="1"/>
  <c r="Z252" i="5"/>
  <c r="AB252" i="5" s="1"/>
  <c r="Z244" i="5"/>
  <c r="AB244" i="5" s="1"/>
  <c r="Z236" i="5"/>
  <c r="AB236" i="5" s="1"/>
  <c r="Z228" i="5"/>
  <c r="AA228" i="5" s="1"/>
  <c r="Z220" i="5"/>
  <c r="AA220" i="5" s="1"/>
  <c r="Z212" i="5"/>
  <c r="AB212" i="5" s="1"/>
  <c r="Z204" i="5"/>
  <c r="Z196" i="5"/>
  <c r="AA196" i="5" s="1"/>
  <c r="Z188" i="5"/>
  <c r="AB188" i="5" s="1"/>
  <c r="Z180" i="5"/>
  <c r="AB180" i="5" s="1"/>
  <c r="Z172" i="5"/>
  <c r="AB172" i="5" s="1"/>
  <c r="Z164" i="5"/>
  <c r="AB164" i="5" s="1"/>
  <c r="Z156" i="5"/>
  <c r="AA156" i="5" s="1"/>
  <c r="Z140" i="5"/>
  <c r="AB140" i="5" s="1"/>
  <c r="Z116" i="5"/>
  <c r="AB116" i="5" s="1"/>
  <c r="Z100" i="5"/>
  <c r="AB100" i="5" s="1"/>
  <c r="Z76" i="5"/>
  <c r="AA76" i="5" s="1"/>
  <c r="Z60" i="5"/>
  <c r="AB60" i="5" s="1"/>
  <c r="Z44" i="5"/>
  <c r="Z30" i="5"/>
  <c r="AA30" i="5" s="1"/>
  <c r="Z8" i="5"/>
  <c r="AA8" i="5" s="1"/>
  <c r="Z155" i="5"/>
  <c r="AB155" i="5" s="1"/>
  <c r="Z99" i="5"/>
  <c r="Z59" i="5"/>
  <c r="AB59" i="5" s="1"/>
  <c r="Z555" i="5"/>
  <c r="Z547" i="5"/>
  <c r="AB547" i="5" s="1"/>
  <c r="Z539" i="5"/>
  <c r="AB539" i="5" s="1"/>
  <c r="Z531" i="5"/>
  <c r="AB531" i="5" s="1"/>
  <c r="Z523" i="5"/>
  <c r="AB523" i="5" s="1"/>
  <c r="Z515" i="5"/>
  <c r="AB515" i="5" s="1"/>
  <c r="Z507" i="5"/>
  <c r="AA507" i="5" s="1"/>
  <c r="Z499" i="5"/>
  <c r="AB499" i="5" s="1"/>
  <c r="Z491" i="5"/>
  <c r="AA491" i="5" s="1"/>
  <c r="Z483" i="5"/>
  <c r="Z475" i="5"/>
  <c r="AB475" i="5" s="1"/>
  <c r="Z467" i="5"/>
  <c r="AB467" i="5" s="1"/>
  <c r="Z459" i="5"/>
  <c r="AA459" i="5" s="1"/>
  <c r="Z451" i="5"/>
  <c r="Z443" i="5"/>
  <c r="AA443" i="5" s="1"/>
  <c r="Z435" i="5"/>
  <c r="AB435" i="5" s="1"/>
  <c r="Z427" i="5"/>
  <c r="Z419" i="5"/>
  <c r="AA419" i="5" s="1"/>
  <c r="Z411" i="5"/>
  <c r="AA411" i="5" s="1"/>
  <c r="Z403" i="5"/>
  <c r="AA403" i="5" s="1"/>
  <c r="Z395" i="5"/>
  <c r="Z387" i="5"/>
  <c r="AB387" i="5" s="1"/>
  <c r="Z379" i="5"/>
  <c r="AA379" i="5" s="1"/>
  <c r="Z371" i="5"/>
  <c r="AA371" i="5" s="1"/>
  <c r="Z363" i="5"/>
  <c r="AB363" i="5" s="1"/>
  <c r="Z355" i="5"/>
  <c r="AB355" i="5" s="1"/>
  <c r="Z347" i="5"/>
  <c r="AA347" i="5" s="1"/>
  <c r="Z339" i="5"/>
  <c r="Z331" i="5"/>
  <c r="AA331" i="5" s="1"/>
  <c r="Z323" i="5"/>
  <c r="Z315" i="5"/>
  <c r="AB315" i="5" s="1"/>
  <c r="Z307" i="5"/>
  <c r="AA307" i="5" s="1"/>
  <c r="Z299" i="5"/>
  <c r="AA299" i="5" s="1"/>
  <c r="Z291" i="5"/>
  <c r="AA291" i="5" s="1"/>
  <c r="Z283" i="5"/>
  <c r="AB283" i="5" s="1"/>
  <c r="Z275" i="5"/>
  <c r="AB275" i="5" s="1"/>
  <c r="Z267" i="5"/>
  <c r="AB267" i="5" s="1"/>
  <c r="Z259" i="5"/>
  <c r="AA259" i="5" s="1"/>
  <c r="Z251" i="5"/>
  <c r="AB251" i="5" s="1"/>
  <c r="Z243" i="5"/>
  <c r="AB243" i="5" s="1"/>
  <c r="Z235" i="5"/>
  <c r="AA235" i="5" s="1"/>
  <c r="Z227" i="5"/>
  <c r="AB227" i="5" s="1"/>
  <c r="Z219" i="5"/>
  <c r="AA219" i="5" s="1"/>
  <c r="Z211" i="5"/>
  <c r="AA211" i="5" s="1"/>
  <c r="Z203" i="5"/>
  <c r="AA203" i="5" s="1"/>
  <c r="Z195" i="5"/>
  <c r="AA195" i="5" s="1"/>
  <c r="Z187" i="5"/>
  <c r="AB187" i="5" s="1"/>
  <c r="Z179" i="5"/>
  <c r="AA179" i="5" s="1"/>
  <c r="Z163" i="5"/>
  <c r="AA163" i="5" s="1"/>
  <c r="Z115" i="5"/>
  <c r="Z75" i="5"/>
  <c r="Z554" i="5"/>
  <c r="AA554" i="5" s="1"/>
  <c r="Z546" i="5"/>
  <c r="AA546" i="5" s="1"/>
  <c r="Z538" i="5"/>
  <c r="AB538" i="5" s="1"/>
  <c r="Z530" i="5"/>
  <c r="Z522" i="5"/>
  <c r="AA522" i="5" s="1"/>
  <c r="Z514" i="5"/>
  <c r="AB514" i="5" s="1"/>
  <c r="Z506" i="5"/>
  <c r="AB506" i="5" s="1"/>
  <c r="Z498" i="5"/>
  <c r="AA498" i="5" s="1"/>
  <c r="Z490" i="5"/>
  <c r="AB490" i="5" s="1"/>
  <c r="Z482" i="5"/>
  <c r="Z474" i="5"/>
  <c r="AA474" i="5" s="1"/>
  <c r="Z466" i="5"/>
  <c r="Z458" i="5"/>
  <c r="AA458" i="5" s="1"/>
  <c r="Z450" i="5"/>
  <c r="Z442" i="5"/>
  <c r="AB442" i="5" s="1"/>
  <c r="Z434" i="5"/>
  <c r="Z426" i="5"/>
  <c r="AA426" i="5" s="1"/>
  <c r="Z418" i="5"/>
  <c r="AB418" i="5" s="1"/>
  <c r="Z410" i="5"/>
  <c r="AB410" i="5" s="1"/>
  <c r="Z402" i="5"/>
  <c r="AB402" i="5" s="1"/>
  <c r="Z394" i="5"/>
  <c r="AB394" i="5" s="1"/>
  <c r="Z386" i="5"/>
  <c r="AA386" i="5" s="1"/>
  <c r="Z378" i="5"/>
  <c r="Z370" i="5"/>
  <c r="AA370" i="5" s="1"/>
  <c r="Z362" i="5"/>
  <c r="AA362" i="5" s="1"/>
  <c r="Z354" i="5"/>
  <c r="AA354" i="5" s="1"/>
  <c r="Z346" i="5"/>
  <c r="AB346" i="5" s="1"/>
  <c r="Z338" i="5"/>
  <c r="AB338" i="5" s="1"/>
  <c r="Z330" i="5"/>
  <c r="AB330" i="5" s="1"/>
  <c r="Z322" i="5"/>
  <c r="AA322" i="5" s="1"/>
  <c r="Z314" i="5"/>
  <c r="AB314" i="5" s="1"/>
  <c r="Z306" i="5"/>
  <c r="AB306" i="5" s="1"/>
  <c r="Z298" i="5"/>
  <c r="AA298" i="5" s="1"/>
  <c r="Z290" i="5"/>
  <c r="AB290" i="5" s="1"/>
  <c r="Z282" i="5"/>
  <c r="AB282" i="5" s="1"/>
  <c r="Z274" i="5"/>
  <c r="AA274" i="5" s="1"/>
  <c r="Z266" i="5"/>
  <c r="Z258" i="5"/>
  <c r="AB258" i="5" s="1"/>
  <c r="Z250" i="5"/>
  <c r="AB250" i="5" s="1"/>
  <c r="Z242" i="5"/>
  <c r="AA242" i="5" s="1"/>
  <c r="Z234" i="5"/>
  <c r="Z226" i="5"/>
  <c r="AA226" i="5" s="1"/>
  <c r="Z218" i="5"/>
  <c r="Z210" i="5"/>
  <c r="Z202" i="5"/>
  <c r="AA202" i="5" s="1"/>
  <c r="Z194" i="5"/>
  <c r="AB194" i="5" s="1"/>
  <c r="Z186" i="5"/>
  <c r="Z178" i="5"/>
  <c r="Z170" i="5"/>
  <c r="AB170" i="5" s="1"/>
  <c r="Z162" i="5"/>
  <c r="AB162" i="5" s="1"/>
  <c r="Z154" i="5"/>
  <c r="AA154" i="5" s="1"/>
  <c r="Z146" i="5"/>
  <c r="AB146" i="5" s="1"/>
  <c r="Z138" i="5"/>
  <c r="AB138" i="5" s="1"/>
  <c r="Z130" i="5"/>
  <c r="AA130" i="5" s="1"/>
  <c r="Z122" i="5"/>
  <c r="Z114" i="5"/>
  <c r="AB114" i="5" s="1"/>
  <c r="Z106" i="5"/>
  <c r="AB106" i="5" s="1"/>
  <c r="Z98" i="5"/>
  <c r="AA98" i="5" s="1"/>
  <c r="Z90" i="5"/>
  <c r="AB90" i="5" s="1"/>
  <c r="Z82" i="5"/>
  <c r="AB82" i="5" s="1"/>
  <c r="Z74" i="5"/>
  <c r="AA74" i="5" s="1"/>
  <c r="Z66" i="5"/>
  <c r="AB66" i="5" s="1"/>
  <c r="Z58" i="5"/>
  <c r="Z50" i="5"/>
  <c r="AB50" i="5" s="1"/>
  <c r="Z42" i="5"/>
  <c r="AA42" i="5" s="1"/>
  <c r="Z35" i="5"/>
  <c r="Z28" i="5"/>
  <c r="AB28" i="5" s="1"/>
  <c r="Z20" i="5"/>
  <c r="Z121" i="5"/>
  <c r="AA121" i="5" s="1"/>
  <c r="Z105" i="5"/>
  <c r="AA105" i="5" s="1"/>
  <c r="Z89" i="5"/>
  <c r="AB89" i="5" s="1"/>
  <c r="Z73" i="5"/>
  <c r="Z57" i="5"/>
  <c r="AB57" i="5" s="1"/>
  <c r="Z41" i="5"/>
  <c r="AA41" i="5" s="1"/>
  <c r="Z27" i="5"/>
  <c r="AB27" i="5" s="1"/>
  <c r="Z19" i="5"/>
  <c r="AA19" i="5" s="1"/>
  <c r="Z120" i="5"/>
  <c r="AA120" i="5" s="1"/>
  <c r="Z104" i="5"/>
  <c r="AB104" i="5" s="1"/>
  <c r="Z88" i="5"/>
  <c r="AA88" i="5" s="1"/>
  <c r="Z64" i="5"/>
  <c r="AB64" i="5" s="1"/>
  <c r="Z40" i="5"/>
  <c r="AA40" i="5" s="1"/>
  <c r="Z13" i="5"/>
  <c r="Z553" i="5"/>
  <c r="AB553" i="5" s="1"/>
  <c r="Z545" i="5"/>
  <c r="AA545" i="5" s="1"/>
  <c r="Z537" i="5"/>
  <c r="AA537" i="5" s="1"/>
  <c r="Z529" i="5"/>
  <c r="AA529" i="5" s="1"/>
  <c r="Z521" i="5"/>
  <c r="AA521" i="5" s="1"/>
  <c r="Z513" i="5"/>
  <c r="AA513" i="5" s="1"/>
  <c r="Z505" i="5"/>
  <c r="Z497" i="5"/>
  <c r="AB497" i="5" s="1"/>
  <c r="Z489" i="5"/>
  <c r="AB489" i="5" s="1"/>
  <c r="Z481" i="5"/>
  <c r="Z473" i="5"/>
  <c r="AA473" i="5" s="1"/>
  <c r="Z465" i="5"/>
  <c r="Z457" i="5"/>
  <c r="AB457" i="5" s="1"/>
  <c r="Z449" i="5"/>
  <c r="AA449" i="5" s="1"/>
  <c r="Z441" i="5"/>
  <c r="AB441" i="5" s="1"/>
  <c r="Z433" i="5"/>
  <c r="Z425" i="5"/>
  <c r="AA425" i="5" s="1"/>
  <c r="Z417" i="5"/>
  <c r="AA417" i="5" s="1"/>
  <c r="Z409" i="5"/>
  <c r="AB409" i="5" s="1"/>
  <c r="Z401" i="5"/>
  <c r="AA401" i="5" s="1"/>
  <c r="Z393" i="5"/>
  <c r="AA393" i="5" s="1"/>
  <c r="Z385" i="5"/>
  <c r="AB385" i="5" s="1"/>
  <c r="Z377" i="5"/>
  <c r="Z369" i="5"/>
  <c r="AB369" i="5" s="1"/>
  <c r="Z361" i="5"/>
  <c r="AB361" i="5" s="1"/>
  <c r="Z353" i="5"/>
  <c r="Z345" i="5"/>
  <c r="Z337" i="5"/>
  <c r="AB337" i="5" s="1"/>
  <c r="Z329" i="5"/>
  <c r="AB329" i="5" s="1"/>
  <c r="Z321" i="5"/>
  <c r="AB321" i="5" s="1"/>
  <c r="Z313" i="5"/>
  <c r="AB313" i="5" s="1"/>
  <c r="Z305" i="5"/>
  <c r="AB305" i="5" s="1"/>
  <c r="Z297" i="5"/>
  <c r="AB297" i="5" s="1"/>
  <c r="Z289" i="5"/>
  <c r="AB289" i="5" s="1"/>
  <c r="Z281" i="5"/>
  <c r="AB281" i="5" s="1"/>
  <c r="Z273" i="5"/>
  <c r="AB273" i="5" s="1"/>
  <c r="Z265" i="5"/>
  <c r="AB265" i="5" s="1"/>
  <c r="Z257" i="5"/>
  <c r="Z249" i="5"/>
  <c r="AA249" i="5" s="1"/>
  <c r="Z241" i="5"/>
  <c r="AB241" i="5" s="1"/>
  <c r="Z233" i="5"/>
  <c r="AA233" i="5" s="1"/>
  <c r="Z225" i="5"/>
  <c r="AB225" i="5" s="1"/>
  <c r="Z217" i="5"/>
  <c r="AA217" i="5" s="1"/>
  <c r="Z209" i="5"/>
  <c r="AA209" i="5" s="1"/>
  <c r="Z201" i="5"/>
  <c r="AB201" i="5" s="1"/>
  <c r="Z193" i="5"/>
  <c r="AB193" i="5" s="1"/>
  <c r="Z185" i="5"/>
  <c r="AB185" i="5" s="1"/>
  <c r="Z177" i="5"/>
  <c r="AB177" i="5" s="1"/>
  <c r="Z169" i="5"/>
  <c r="AA169" i="5" s="1"/>
  <c r="Z161" i="5"/>
  <c r="AA161" i="5" s="1"/>
  <c r="Z153" i="5"/>
  <c r="AB153" i="5" s="1"/>
  <c r="Z145" i="5"/>
  <c r="Z137" i="5"/>
  <c r="AB137" i="5" s="1"/>
  <c r="Z129" i="5"/>
  <c r="AB129" i="5" s="1"/>
  <c r="Z113" i="5"/>
  <c r="Z97" i="5"/>
  <c r="AB97" i="5" s="1"/>
  <c r="Z81" i="5"/>
  <c r="Z65" i="5"/>
  <c r="Z49" i="5"/>
  <c r="AA49" i="5" s="1"/>
  <c r="Z72" i="5"/>
  <c r="AB72" i="5" s="1"/>
  <c r="Z48" i="5"/>
  <c r="AB48" i="5" s="1"/>
  <c r="Z26" i="5"/>
  <c r="AB26" i="5" s="1"/>
  <c r="Z21" i="5"/>
  <c r="AJ9" i="5"/>
  <c r="AK9" i="5" s="1"/>
  <c r="Z9" i="5"/>
  <c r="S240" i="5"/>
  <c r="R312" i="5"/>
  <c r="T11" i="5"/>
  <c r="U11" i="5" s="1"/>
  <c r="Z11" i="5"/>
  <c r="AB11" i="5" s="1"/>
  <c r="R320" i="5"/>
  <c r="S128" i="5"/>
  <c r="U45" i="5"/>
  <c r="AP38" i="5"/>
  <c r="AR38" i="5" s="1"/>
  <c r="AP110" i="5"/>
  <c r="AR110" i="5" s="1"/>
  <c r="AP47" i="5"/>
  <c r="AR47" i="5" s="1"/>
  <c r="AP92" i="5"/>
  <c r="AP64" i="5"/>
  <c r="AQ64" i="5" s="1"/>
  <c r="V97" i="5"/>
  <c r="AP340" i="5"/>
  <c r="AR340" i="5" s="1"/>
  <c r="R472" i="5"/>
  <c r="V534" i="5"/>
  <c r="Y184" i="5"/>
  <c r="AP189" i="5"/>
  <c r="AQ189" i="5" s="1"/>
  <c r="V145" i="5"/>
  <c r="V54" i="5"/>
  <c r="AP238" i="5"/>
  <c r="AQ238" i="5" s="1"/>
  <c r="AP42" i="5"/>
  <c r="AR42" i="5" s="1"/>
  <c r="AP506" i="5"/>
  <c r="U143" i="5"/>
  <c r="S224" i="5"/>
  <c r="Y179" i="5"/>
  <c r="Y326" i="5"/>
  <c r="AP112" i="5"/>
  <c r="AR112" i="5" s="1"/>
  <c r="AP497" i="5"/>
  <c r="AR497" i="5" s="1"/>
  <c r="AP276" i="5"/>
  <c r="AR276" i="5" s="1"/>
  <c r="AP146" i="5"/>
  <c r="V99" i="5"/>
  <c r="AL227" i="5"/>
  <c r="S136" i="5"/>
  <c r="R216" i="5"/>
  <c r="R232" i="5"/>
  <c r="Y289" i="5"/>
  <c r="Y51" i="5"/>
  <c r="AP252" i="5"/>
  <c r="AP159" i="5"/>
  <c r="AR159" i="5" s="1"/>
  <c r="AP406" i="5"/>
  <c r="AQ406" i="5" s="1"/>
  <c r="V21" i="5"/>
  <c r="X553" i="5"/>
  <c r="Y554" i="5"/>
  <c r="X465" i="5"/>
  <c r="AN64" i="5"/>
  <c r="Y260" i="5"/>
  <c r="X274" i="5"/>
  <c r="AP119" i="5"/>
  <c r="AR119" i="5" s="1"/>
  <c r="AP346" i="5"/>
  <c r="AQ346" i="5" s="1"/>
  <c r="AP182" i="5"/>
  <c r="V102" i="5"/>
  <c r="AP72" i="5"/>
  <c r="AQ72" i="5" s="1"/>
  <c r="AP54" i="5"/>
  <c r="AR54" i="5" s="1"/>
  <c r="Y448" i="5"/>
  <c r="R280" i="5"/>
  <c r="R152" i="5"/>
  <c r="Y301" i="5"/>
  <c r="Y458" i="5"/>
  <c r="P487" i="5"/>
  <c r="S112" i="5"/>
  <c r="S208" i="5"/>
  <c r="S64" i="5"/>
  <c r="K28" i="2"/>
  <c r="K27" i="2"/>
  <c r="AP486" i="5"/>
  <c r="AQ486" i="5" s="1"/>
  <c r="AP359" i="5"/>
  <c r="AP470" i="5"/>
  <c r="AQ470" i="5" s="1"/>
  <c r="AP245" i="5"/>
  <c r="AQ245" i="5" s="1"/>
  <c r="AP418" i="5"/>
  <c r="AP258" i="5"/>
  <c r="AQ258" i="5" s="1"/>
  <c r="AP233" i="5"/>
  <c r="AQ233" i="5" s="1"/>
  <c r="AP476" i="5"/>
  <c r="AR476" i="5" s="1"/>
  <c r="AP536" i="5"/>
  <c r="AR536" i="5" s="1"/>
  <c r="AP560" i="5"/>
  <c r="AP485" i="5"/>
  <c r="AR485" i="5" s="1"/>
  <c r="AP335" i="5"/>
  <c r="AR335" i="5" s="1"/>
  <c r="AP398" i="5"/>
  <c r="N31" i="2"/>
  <c r="AP284" i="5"/>
  <c r="AQ284" i="5" s="1"/>
  <c r="AP24" i="5"/>
  <c r="AR24" i="5" s="1"/>
  <c r="AP306" i="5"/>
  <c r="AQ306" i="5" s="1"/>
  <c r="B50" i="5"/>
  <c r="M31" i="2"/>
  <c r="AP512" i="5"/>
  <c r="AQ512" i="5" s="1"/>
  <c r="B153" i="2"/>
  <c r="H39" i="1" s="1"/>
  <c r="L31" i="2"/>
  <c r="AP364" i="5"/>
  <c r="AQ364" i="5" s="1"/>
  <c r="AK451" i="5"/>
  <c r="AP300" i="5"/>
  <c r="AQ300" i="5" s="1"/>
  <c r="M35" i="2"/>
  <c r="N35" i="2" s="1"/>
  <c r="AP492" i="5"/>
  <c r="AQ492" i="5" s="1"/>
  <c r="AP557" i="5"/>
  <c r="AR557" i="5" s="1"/>
  <c r="AP451" i="5"/>
  <c r="X96" i="5"/>
  <c r="X129" i="5"/>
  <c r="Y437" i="5"/>
  <c r="Y320" i="5"/>
  <c r="X319" i="5"/>
  <c r="R392" i="5"/>
  <c r="X156" i="5"/>
  <c r="X276" i="5"/>
  <c r="X399" i="5"/>
  <c r="Y342" i="5"/>
  <c r="S416" i="5"/>
  <c r="R432" i="5"/>
  <c r="Y35" i="5"/>
  <c r="X432" i="5"/>
  <c r="X451" i="5"/>
  <c r="Y28" i="5"/>
  <c r="X100" i="5"/>
  <c r="X394" i="5"/>
  <c r="Y286" i="5"/>
  <c r="R80" i="5"/>
  <c r="X491" i="5"/>
  <c r="S304" i="5"/>
  <c r="S8" i="5"/>
  <c r="Y211" i="5"/>
  <c r="Y69" i="5"/>
  <c r="X240" i="5"/>
  <c r="X355" i="5"/>
  <c r="Y214" i="5"/>
  <c r="X215" i="5"/>
  <c r="X412" i="5"/>
  <c r="Y126" i="5"/>
  <c r="Y517" i="5"/>
  <c r="X310" i="5"/>
  <c r="R488" i="5"/>
  <c r="S104" i="5"/>
  <c r="S344" i="5"/>
  <c r="R464" i="5"/>
  <c r="R32" i="5"/>
  <c r="R40" i="5"/>
  <c r="R456" i="5"/>
  <c r="R424" i="5"/>
  <c r="R168" i="5"/>
  <c r="X218" i="5"/>
  <c r="X259" i="5"/>
  <c r="X192" i="5"/>
  <c r="X52" i="5"/>
  <c r="X525" i="5"/>
  <c r="Y45" i="5"/>
  <c r="X434" i="5"/>
  <c r="Y531" i="5"/>
  <c r="Y55" i="5"/>
  <c r="Y158" i="5"/>
  <c r="X426" i="5"/>
  <c r="Y314" i="5"/>
  <c r="X95" i="5"/>
  <c r="X43" i="5"/>
  <c r="X518" i="5"/>
  <c r="Y264" i="5"/>
  <c r="S448" i="5"/>
  <c r="Y83" i="5"/>
  <c r="X313" i="5"/>
  <c r="Y389" i="5"/>
  <c r="Y383" i="5"/>
  <c r="R512" i="5"/>
  <c r="Y415" i="5"/>
  <c r="Y120" i="5"/>
  <c r="Y219" i="5"/>
  <c r="X128" i="5"/>
  <c r="X334" i="5"/>
  <c r="X117" i="5"/>
  <c r="X329" i="5"/>
  <c r="X155" i="5"/>
  <c r="X278" i="5"/>
  <c r="Y277" i="5"/>
  <c r="Y106" i="5"/>
  <c r="X533" i="5"/>
  <c r="R256" i="5"/>
  <c r="Y378" i="5"/>
  <c r="X302" i="5"/>
  <c r="AB334" i="5"/>
  <c r="V117" i="4"/>
  <c r="W117" i="4" s="1"/>
  <c r="Y117" i="4" s="1"/>
  <c r="AS26" i="4"/>
  <c r="U117" i="4"/>
  <c r="AH117" i="4" s="1"/>
  <c r="U115" i="4"/>
  <c r="AH115" i="4" s="1"/>
  <c r="AS87" i="4"/>
  <c r="AS37" i="4"/>
  <c r="U125" i="4"/>
  <c r="AH125" i="4" s="1"/>
  <c r="AS57" i="4"/>
  <c r="V46" i="4"/>
  <c r="AM46" i="4" s="1"/>
  <c r="AN46" i="4" s="1"/>
  <c r="AS115" i="4"/>
  <c r="V37" i="4"/>
  <c r="AM37" i="4" s="1"/>
  <c r="AN37" i="4" s="1"/>
  <c r="V61" i="4"/>
  <c r="AM61" i="4" s="1"/>
  <c r="AN61" i="4" s="1"/>
  <c r="V125" i="4"/>
  <c r="AM125" i="4" s="1"/>
  <c r="AN125" i="4" s="1"/>
  <c r="U14" i="4"/>
  <c r="AH14" i="4" s="1"/>
  <c r="V26" i="4"/>
  <c r="U37" i="4"/>
  <c r="AH37" i="4" s="1"/>
  <c r="V145" i="4"/>
  <c r="AM145" i="4" s="1"/>
  <c r="AN145" i="4" s="1"/>
  <c r="V57" i="4"/>
  <c r="AM57" i="4" s="1"/>
  <c r="AN57" i="4" s="1"/>
  <c r="U46" i="4"/>
  <c r="AH46" i="4" s="1"/>
  <c r="U20" i="4"/>
  <c r="AH20" i="4" s="1"/>
  <c r="U61" i="4"/>
  <c r="AH61" i="4" s="1"/>
  <c r="AS125" i="4"/>
  <c r="U134" i="4"/>
  <c r="AH134" i="4" s="1"/>
  <c r="U87" i="4"/>
  <c r="AH87" i="4" s="1"/>
  <c r="AS131" i="4"/>
  <c r="U145" i="4"/>
  <c r="AH145" i="4" s="1"/>
  <c r="AS46" i="4"/>
  <c r="U142" i="4"/>
  <c r="AH142" i="4" s="1"/>
  <c r="AS20" i="4"/>
  <c r="AS61" i="4"/>
  <c r="V12" i="4"/>
  <c r="AM12" i="4" s="1"/>
  <c r="AN12" i="4" s="1"/>
  <c r="V115" i="4"/>
  <c r="W115" i="4" s="1"/>
  <c r="Y115" i="4" s="1"/>
  <c r="AS145" i="4"/>
  <c r="V16" i="4"/>
  <c r="W16" i="4" s="1"/>
  <c r="Y16" i="4" s="1"/>
  <c r="AS142" i="4"/>
  <c r="V20" i="4"/>
  <c r="AM20" i="4" s="1"/>
  <c r="AN20" i="4" s="1"/>
  <c r="V14" i="4"/>
  <c r="AM14" i="4" s="1"/>
  <c r="AN14" i="4" s="1"/>
  <c r="V66" i="4"/>
  <c r="AM66" i="4" s="1"/>
  <c r="AN66" i="4" s="1"/>
  <c r="U18" i="4"/>
  <c r="U128" i="4"/>
  <c r="AH128" i="4" s="1"/>
  <c r="U57" i="4"/>
  <c r="AH57" i="4" s="1"/>
  <c r="V142" i="4"/>
  <c r="AM142" i="4" s="1"/>
  <c r="AN142" i="4" s="1"/>
  <c r="U16" i="4"/>
  <c r="AH16" i="4" s="1"/>
  <c r="V134" i="4"/>
  <c r="W134" i="4" s="1"/>
  <c r="V128" i="4"/>
  <c r="W128" i="4" s="1"/>
  <c r="AS14" i="4"/>
  <c r="U66" i="4"/>
  <c r="AH66" i="4" s="1"/>
  <c r="X395" i="5"/>
  <c r="Y363" i="5"/>
  <c r="X363" i="5"/>
  <c r="X167" i="5"/>
  <c r="Y167" i="5"/>
  <c r="S546" i="5"/>
  <c r="R546" i="5"/>
  <c r="Y145" i="5"/>
  <c r="X266" i="5"/>
  <c r="Y266" i="5"/>
  <c r="X479" i="5"/>
  <c r="Y479" i="5"/>
  <c r="Y373" i="5"/>
  <c r="X373" i="5"/>
  <c r="X68" i="5"/>
  <c r="Y68" i="5"/>
  <c r="X154" i="5"/>
  <c r="Y154" i="5"/>
  <c r="X132" i="5"/>
  <c r="Y132" i="5"/>
  <c r="X366" i="5"/>
  <c r="Y366" i="5"/>
  <c r="Y262" i="5"/>
  <c r="X262" i="5"/>
  <c r="R376" i="5"/>
  <c r="S376" i="5"/>
  <c r="Y110" i="5"/>
  <c r="X110" i="5"/>
  <c r="Y282" i="5"/>
  <c r="X282" i="5"/>
  <c r="R368" i="5"/>
  <c r="S368" i="5"/>
  <c r="Y331" i="5"/>
  <c r="X331" i="5"/>
  <c r="Y557" i="5"/>
  <c r="X557" i="5"/>
  <c r="R176" i="5"/>
  <c r="S176" i="5"/>
  <c r="AA133" i="5"/>
  <c r="S200" i="5"/>
  <c r="R200" i="5"/>
  <c r="S534" i="5"/>
  <c r="R534" i="5"/>
  <c r="X112" i="5"/>
  <c r="Y112" i="5"/>
  <c r="X456" i="5"/>
  <c r="Y456" i="5"/>
  <c r="X343" i="5"/>
  <c r="Y343" i="5"/>
  <c r="S248" i="5"/>
  <c r="Y427" i="5"/>
  <c r="X427" i="5"/>
  <c r="R384" i="5"/>
  <c r="X29" i="5"/>
  <c r="Y56" i="5"/>
  <c r="X56" i="5"/>
  <c r="Y290" i="5"/>
  <c r="X290" i="5"/>
  <c r="Y272" i="5"/>
  <c r="X272" i="5"/>
  <c r="X85" i="5"/>
  <c r="Y50" i="5"/>
  <c r="X50" i="5"/>
  <c r="X269" i="5"/>
  <c r="Y269" i="5"/>
  <c r="Y125" i="5"/>
  <c r="X125" i="5"/>
  <c r="Y212" i="5"/>
  <c r="X212" i="5"/>
  <c r="R48" i="5"/>
  <c r="X137" i="5"/>
  <c r="Y484" i="5"/>
  <c r="Y441" i="5"/>
  <c r="R408" i="5"/>
  <c r="R72" i="5"/>
  <c r="Y323" i="5"/>
  <c r="X435" i="5"/>
  <c r="Y435" i="5"/>
  <c r="X405" i="5"/>
  <c r="Y405" i="5"/>
  <c r="X453" i="5"/>
  <c r="Y115" i="5"/>
  <c r="Y403" i="5"/>
  <c r="X403" i="5"/>
  <c r="R360" i="5"/>
  <c r="X202" i="5"/>
  <c r="S296" i="5"/>
  <c r="Y82" i="5"/>
  <c r="X200" i="5"/>
  <c r="R504" i="5"/>
  <c r="R336" i="5"/>
  <c r="S144" i="5"/>
  <c r="R496" i="5"/>
  <c r="Y332" i="5"/>
  <c r="X409" i="5"/>
  <c r="X86" i="5"/>
  <c r="Y130" i="5"/>
  <c r="Y321" i="5"/>
  <c r="Y288" i="5"/>
  <c r="X358" i="5"/>
  <c r="X541" i="5"/>
  <c r="Y510" i="5"/>
  <c r="R440" i="5"/>
  <c r="Y386" i="5"/>
  <c r="Y424" i="5"/>
  <c r="R264" i="5"/>
  <c r="X78" i="5"/>
  <c r="Y555" i="5"/>
  <c r="Y98" i="5"/>
  <c r="R24" i="5"/>
  <c r="Y63" i="5"/>
  <c r="X298" i="5"/>
  <c r="Y391" i="5"/>
  <c r="X299" i="5"/>
  <c r="Y72" i="5"/>
  <c r="Y361" i="5"/>
  <c r="X549" i="5"/>
  <c r="X60" i="5"/>
  <c r="X257" i="5"/>
  <c r="Y464" i="5"/>
  <c r="X229" i="5"/>
  <c r="X62" i="5"/>
  <c r="X537" i="5"/>
  <c r="Y542" i="5"/>
  <c r="Y287" i="5"/>
  <c r="X387" i="5"/>
  <c r="Y199" i="5"/>
  <c r="Y119" i="5"/>
  <c r="Y253" i="5"/>
  <c r="X198" i="5"/>
  <c r="Y506" i="5"/>
  <c r="X178" i="5"/>
  <c r="Y486" i="5"/>
  <c r="X505" i="5"/>
  <c r="Y189" i="5"/>
  <c r="Y237" i="5"/>
  <c r="X270" i="5"/>
  <c r="X89" i="5"/>
  <c r="Y454" i="5"/>
  <c r="X275" i="5"/>
  <c r="Y139" i="5"/>
  <c r="Y543" i="5"/>
  <c r="X478" i="5"/>
  <c r="X466" i="5"/>
  <c r="X21" i="5"/>
  <c r="Y281" i="5"/>
  <c r="X551" i="5"/>
  <c r="X23" i="5"/>
  <c r="Y38" i="5"/>
  <c r="X247" i="5"/>
  <c r="Y208" i="5"/>
  <c r="X482" i="5"/>
  <c r="Y433" i="5"/>
  <c r="R400" i="5"/>
  <c r="Y480" i="5"/>
  <c r="X511" i="5"/>
  <c r="S56" i="5"/>
  <c r="S272" i="5"/>
  <c r="Y382" i="5"/>
  <c r="Y473" i="5"/>
  <c r="X341" i="5"/>
  <c r="Y271" i="5"/>
  <c r="X300" i="5"/>
  <c r="Y172" i="5"/>
  <c r="Y460" i="5"/>
  <c r="Y305" i="5"/>
  <c r="X400" i="5"/>
  <c r="Y490" i="5"/>
  <c r="X390" i="5"/>
  <c r="X470" i="5"/>
  <c r="Y153" i="5"/>
  <c r="X222" i="5"/>
  <c r="X509" i="5"/>
  <c r="X393" i="5"/>
  <c r="X550" i="5"/>
  <c r="S120" i="5"/>
  <c r="Y293" i="5"/>
  <c r="X445" i="5"/>
  <c r="Y93" i="5"/>
  <c r="X351" i="5"/>
  <c r="Y353" i="5"/>
  <c r="X481" i="5"/>
  <c r="X223" i="5"/>
  <c r="X519" i="5"/>
  <c r="Y169" i="5"/>
  <c r="Y530" i="5"/>
  <c r="X174" i="5"/>
  <c r="X512" i="5"/>
  <c r="X428" i="5"/>
  <c r="X64" i="5"/>
  <c r="X248" i="5"/>
  <c r="X243" i="5"/>
  <c r="Y57" i="5"/>
  <c r="Y444" i="5"/>
  <c r="Y26" i="5"/>
  <c r="Y233" i="5"/>
  <c r="X58" i="5"/>
  <c r="X273" i="5"/>
  <c r="X475" i="5"/>
  <c r="X194" i="5"/>
  <c r="Y46" i="5"/>
  <c r="Y401" i="5"/>
  <c r="Y312" i="5"/>
  <c r="Y180" i="5"/>
  <c r="Y142" i="5"/>
  <c r="X304" i="5"/>
  <c r="W96" i="4"/>
  <c r="Y96" i="4" s="1"/>
  <c r="Z96" i="4" s="1"/>
  <c r="AF96" i="4" s="1"/>
  <c r="AO96" i="4" s="1"/>
  <c r="Y529" i="5"/>
  <c r="Y425" i="5"/>
  <c r="X498" i="5"/>
  <c r="Y131" i="5"/>
  <c r="W73" i="4"/>
  <c r="X73" i="4" s="1"/>
  <c r="AJ73" i="4" s="1"/>
  <c r="X108" i="5"/>
  <c r="Y77" i="5"/>
  <c r="X102" i="5"/>
  <c r="X438" i="5"/>
  <c r="Y197" i="5"/>
  <c r="Y359" i="5"/>
  <c r="X552" i="5"/>
  <c r="X263" i="5"/>
  <c r="Y152" i="5"/>
  <c r="X535" i="5"/>
  <c r="X472" i="5"/>
  <c r="Y42" i="5"/>
  <c r="X36" i="5"/>
  <c r="X546" i="5"/>
  <c r="Y339" i="5"/>
  <c r="X254" i="5"/>
  <c r="Y196" i="5"/>
  <c r="X73" i="5"/>
  <c r="Y239" i="5"/>
  <c r="Y173" i="5"/>
  <c r="X61" i="5"/>
  <c r="Y296" i="5"/>
  <c r="Y381" i="5"/>
  <c r="Y48" i="5"/>
  <c r="X244" i="5"/>
  <c r="Y99" i="5"/>
  <c r="AM98" i="4"/>
  <c r="X258" i="5"/>
  <c r="Y22" i="5"/>
  <c r="X536" i="5"/>
  <c r="Y493" i="5"/>
  <c r="X133" i="5"/>
  <c r="Y284" i="5"/>
  <c r="Y463" i="5"/>
  <c r="Y350" i="5"/>
  <c r="Y357" i="5"/>
  <c r="Y317" i="5"/>
  <c r="Y187" i="5"/>
  <c r="Y485" i="5"/>
  <c r="X280" i="5"/>
  <c r="Y500" i="5"/>
  <c r="X507" i="5"/>
  <c r="Y291" i="5"/>
  <c r="X66" i="5"/>
  <c r="Y520" i="5"/>
  <c r="R184" i="5"/>
  <c r="X477" i="5"/>
  <c r="Y402" i="5"/>
  <c r="Y216" i="5"/>
  <c r="R538" i="5"/>
  <c r="Y440" i="5"/>
  <c r="Y101" i="5"/>
  <c r="X327" i="5"/>
  <c r="Y408" i="5"/>
  <c r="Y436" i="5"/>
  <c r="X191" i="5"/>
  <c r="Y376" i="5"/>
  <c r="X515" i="5"/>
  <c r="Y213" i="5"/>
  <c r="X474" i="5"/>
  <c r="Y84" i="5"/>
  <c r="Y346" i="5"/>
  <c r="X261" i="5"/>
  <c r="Y81" i="5"/>
  <c r="Y175" i="5"/>
  <c r="Y526" i="5"/>
  <c r="X392" i="5"/>
  <c r="X354" i="5"/>
  <c r="Y75" i="5"/>
  <c r="Y97" i="5"/>
  <c r="X372" i="5"/>
  <c r="X442" i="5"/>
  <c r="X249" i="5"/>
  <c r="Y487" i="5"/>
  <c r="Y492" i="5"/>
  <c r="Y410" i="5"/>
  <c r="R192" i="5"/>
  <c r="R160" i="5"/>
  <c r="Y238" i="5"/>
  <c r="Y92" i="5"/>
  <c r="Y148" i="5"/>
  <c r="Y20" i="5"/>
  <c r="Y422" i="5"/>
  <c r="Y59" i="5"/>
  <c r="Y267" i="5"/>
  <c r="X32" i="5"/>
  <c r="X79" i="5"/>
  <c r="X201" i="5"/>
  <c r="R352" i="5"/>
  <c r="Y360" i="5"/>
  <c r="X210" i="5"/>
  <c r="X183" i="5"/>
  <c r="Y385" i="5"/>
  <c r="Y279" i="5"/>
  <c r="X504" i="5"/>
  <c r="X88" i="5"/>
  <c r="X559" i="5"/>
  <c r="X170" i="5"/>
  <c r="X283" i="5"/>
  <c r="Y39" i="5"/>
  <c r="X234" i="5"/>
  <c r="X501" i="5"/>
  <c r="X232" i="5"/>
  <c r="X538" i="5"/>
  <c r="X344" i="5"/>
  <c r="Y503" i="5"/>
  <c r="X165" i="5"/>
  <c r="X168" i="5"/>
  <c r="Y265" i="5"/>
  <c r="Y255" i="5"/>
  <c r="X488" i="5"/>
  <c r="X483" i="5"/>
  <c r="X497" i="5"/>
  <c r="X160" i="5"/>
  <c r="X136" i="5"/>
  <c r="Y423" i="5"/>
  <c r="Y121" i="5"/>
  <c r="X455" i="5"/>
  <c r="X508" i="5"/>
  <c r="X164" i="5"/>
  <c r="X375" i="5"/>
  <c r="X540" i="5"/>
  <c r="Y417" i="5"/>
  <c r="X151" i="5"/>
  <c r="Y76" i="5"/>
  <c r="Y371" i="5"/>
  <c r="Y330" i="5"/>
  <c r="X388" i="5"/>
  <c r="Y252" i="5"/>
  <c r="X532" i="5"/>
  <c r="X27" i="5"/>
  <c r="Y54" i="5"/>
  <c r="X207" i="5"/>
  <c r="X449" i="5"/>
  <c r="Y545" i="5"/>
  <c r="Y380" i="5"/>
  <c r="X104" i="5"/>
  <c r="Y30" i="5"/>
  <c r="X306" i="5"/>
  <c r="Y241" i="5"/>
  <c r="X349" i="5"/>
  <c r="X406" i="5"/>
  <c r="Y70" i="5"/>
  <c r="W140" i="4"/>
  <c r="Y140" i="4" s="1"/>
  <c r="AM140" i="4"/>
  <c r="W105" i="4"/>
  <c r="AM105" i="4"/>
  <c r="AS58" i="4"/>
  <c r="AS149" i="4"/>
  <c r="AS157" i="4"/>
  <c r="AS77" i="4"/>
  <c r="V22" i="4"/>
  <c r="AM22" i="4" s="1"/>
  <c r="AN22" i="4" s="1"/>
  <c r="AS39" i="4"/>
  <c r="V109" i="4"/>
  <c r="AM109" i="4" s="1"/>
  <c r="AN109" i="4" s="1"/>
  <c r="X496" i="5"/>
  <c r="Y217" i="5"/>
  <c r="Y221" i="5"/>
  <c r="X333" i="5"/>
  <c r="Y242" i="5"/>
  <c r="Y220" i="5"/>
  <c r="X471" i="5"/>
  <c r="Y150" i="5"/>
  <c r="X140" i="5"/>
  <c r="U24" i="4"/>
  <c r="AH24" i="4" s="1"/>
  <c r="AL84" i="4"/>
  <c r="AS84" i="4"/>
  <c r="AL155" i="4"/>
  <c r="U155" i="4"/>
  <c r="AL118" i="4"/>
  <c r="AS118" i="4"/>
  <c r="Y122" i="5"/>
  <c r="X122" i="5"/>
  <c r="V83" i="4"/>
  <c r="V67" i="4"/>
  <c r="AM67" i="4" s="1"/>
  <c r="AN67" i="4" s="1"/>
  <c r="X328" i="5"/>
  <c r="R288" i="5"/>
  <c r="V39" i="4"/>
  <c r="AM39" i="4" s="1"/>
  <c r="AN39" i="4" s="1"/>
  <c r="AS109" i="4"/>
  <c r="Y467" i="5"/>
  <c r="Y439" i="5"/>
  <c r="Y188" i="5"/>
  <c r="Y236" i="5"/>
  <c r="Y356" i="5"/>
  <c r="Y268" i="5"/>
  <c r="Y159" i="5"/>
  <c r="X476" i="5"/>
  <c r="U109" i="4"/>
  <c r="AH109" i="4" s="1"/>
  <c r="AL10" i="4"/>
  <c r="V10" i="4"/>
  <c r="AL101" i="4"/>
  <c r="U101" i="4"/>
  <c r="AH101" i="4" s="1"/>
  <c r="V101" i="4"/>
  <c r="AL62" i="4"/>
  <c r="AS62" i="4"/>
  <c r="V62" i="4"/>
  <c r="AS96" i="4"/>
  <c r="AL157" i="4"/>
  <c r="U157" i="4"/>
  <c r="AH157" i="4" s="1"/>
  <c r="AL77" i="4"/>
  <c r="U77" i="4"/>
  <c r="AH77" i="4" s="1"/>
  <c r="U42" i="4"/>
  <c r="AH42" i="4" s="1"/>
  <c r="AS33" i="4"/>
  <c r="U67" i="4"/>
  <c r="AH67" i="4" s="1"/>
  <c r="V15" i="4"/>
  <c r="AM15" i="4" s="1"/>
  <c r="AN15" i="4" s="1"/>
  <c r="AS121" i="4"/>
  <c r="V43" i="4"/>
  <c r="W43" i="4" s="1"/>
  <c r="Y43" i="4" s="1"/>
  <c r="X24" i="5"/>
  <c r="X256" i="5"/>
  <c r="AS135" i="4"/>
  <c r="Y352" i="5"/>
  <c r="U39" i="4"/>
  <c r="AH39" i="4" s="1"/>
  <c r="X123" i="5"/>
  <c r="Y246" i="5"/>
  <c r="Y523" i="5"/>
  <c r="Y190" i="5"/>
  <c r="X34" i="5"/>
  <c r="Y544" i="5"/>
  <c r="Y513" i="5"/>
  <c r="X149" i="5"/>
  <c r="V58" i="4"/>
  <c r="U91" i="4"/>
  <c r="AH91" i="4" s="1"/>
  <c r="AS101" i="4"/>
  <c r="AS137" i="4"/>
  <c r="AS42" i="4"/>
  <c r="V33" i="4"/>
  <c r="W33" i="4" s="1"/>
  <c r="Y33" i="4" s="1"/>
  <c r="Z33" i="4" s="1"/>
  <c r="AS67" i="4"/>
  <c r="AS15" i="4"/>
  <c r="V121" i="4"/>
  <c r="W121" i="4" s="1"/>
  <c r="Y121" i="4" s="1"/>
  <c r="U43" i="4"/>
  <c r="AH43" i="4" s="1"/>
  <c r="U129" i="4"/>
  <c r="AH129" i="4" s="1"/>
  <c r="AM9" i="5"/>
  <c r="AN9" i="5" s="1"/>
  <c r="AH103" i="4"/>
  <c r="V135" i="4"/>
  <c r="AM135" i="4" s="1"/>
  <c r="AN135" i="4" s="1"/>
  <c r="X447" i="5"/>
  <c r="X19" i="5"/>
  <c r="Y407" i="5"/>
  <c r="Y251" i="5"/>
  <c r="Y157" i="5"/>
  <c r="Y80" i="5"/>
  <c r="Y143" i="5"/>
  <c r="AL132" i="4"/>
  <c r="V132" i="4"/>
  <c r="U132" i="4"/>
  <c r="AH132" i="4" s="1"/>
  <c r="AL130" i="4"/>
  <c r="V130" i="4"/>
  <c r="AL98" i="4"/>
  <c r="AS98" i="4"/>
  <c r="Y469" i="5"/>
  <c r="X560" i="5"/>
  <c r="U94" i="4"/>
  <c r="AH94" i="4" s="1"/>
  <c r="V94" i="4"/>
  <c r="AS94" i="4"/>
  <c r="AL94" i="4"/>
  <c r="V155" i="4"/>
  <c r="V24" i="4"/>
  <c r="V129" i="4"/>
  <c r="AM129" i="4" s="1"/>
  <c r="AN129" i="4" s="1"/>
  <c r="AS72" i="4"/>
  <c r="V152" i="4"/>
  <c r="AM152" i="4" s="1"/>
  <c r="AN152" i="4" s="1"/>
  <c r="V148" i="4"/>
  <c r="AM148" i="4" s="1"/>
  <c r="AN148" i="4" s="1"/>
  <c r="X316" i="5"/>
  <c r="Y141" i="5"/>
  <c r="Y67" i="5"/>
  <c r="X177" i="5"/>
  <c r="Y429" i="5"/>
  <c r="Y521" i="5"/>
  <c r="Y430" i="5"/>
  <c r="Y556" i="5"/>
  <c r="X71" i="5"/>
  <c r="X348" i="5"/>
  <c r="X124" i="5"/>
  <c r="AS59" i="4"/>
  <c r="AL59" i="4"/>
  <c r="V59" i="4"/>
  <c r="U59" i="4"/>
  <c r="AH59" i="4" s="1"/>
  <c r="AS79" i="4"/>
  <c r="AL79" i="4"/>
  <c r="U79" i="4"/>
  <c r="AH79" i="4" s="1"/>
  <c r="V79" i="4"/>
  <c r="AL141" i="4"/>
  <c r="V141" i="4"/>
  <c r="AS73" i="4"/>
  <c r="AL73" i="4"/>
  <c r="AN73" i="4" s="1"/>
  <c r="AL133" i="4"/>
  <c r="U133" i="4"/>
  <c r="AH133" i="4" s="1"/>
  <c r="V133" i="4"/>
  <c r="AS18" i="4"/>
  <c r="AS130" i="4"/>
  <c r="AM11" i="5"/>
  <c r="AO11" i="5" s="1"/>
  <c r="AH122" i="4"/>
  <c r="V56" i="4"/>
  <c r="W56" i="4" s="1"/>
  <c r="Y56" i="4" s="1"/>
  <c r="Z56" i="4" s="1"/>
  <c r="AH138" i="4"/>
  <c r="U149" i="4"/>
  <c r="AH149" i="4" s="1"/>
  <c r="AS56" i="4"/>
  <c r="V72" i="4"/>
  <c r="AM72" i="4" s="1"/>
  <c r="AN72" i="4" s="1"/>
  <c r="AS152" i="4"/>
  <c r="U148" i="4"/>
  <c r="AH148" i="4" s="1"/>
  <c r="U22" i="4"/>
  <c r="AH22" i="4" s="1"/>
  <c r="Y384" i="5"/>
  <c r="X340" i="5"/>
  <c r="X114" i="5"/>
  <c r="AH96" i="4"/>
  <c r="AL34" i="4"/>
  <c r="AS34" i="4"/>
  <c r="V34" i="4"/>
  <c r="U34" i="4"/>
  <c r="AH34" i="4" s="1"/>
  <c r="AL140" i="4"/>
  <c r="U140" i="4"/>
  <c r="AH140" i="4" s="1"/>
  <c r="AS140" i="4"/>
  <c r="AL143" i="4"/>
  <c r="AS143" i="4"/>
  <c r="AL105" i="4"/>
  <c r="AS105" i="4"/>
  <c r="U105" i="4"/>
  <c r="AL21" i="4"/>
  <c r="V21" i="4"/>
  <c r="U21" i="4"/>
  <c r="AH21" i="4" s="1"/>
  <c r="AS21" i="4"/>
  <c r="AS132" i="4"/>
  <c r="V144" i="4"/>
  <c r="W118" i="4"/>
  <c r="Y118" i="4" s="1"/>
  <c r="Z118" i="4" s="1"/>
  <c r="Y8" i="5"/>
  <c r="X338" i="5"/>
  <c r="Y53" i="5"/>
  <c r="X420" i="5"/>
  <c r="X431" i="5"/>
  <c r="Y369" i="5"/>
  <c r="Y90" i="5"/>
  <c r="X548" i="5"/>
  <c r="X522" i="5"/>
  <c r="Y186" i="5"/>
  <c r="X468" i="5"/>
  <c r="X324" i="5"/>
  <c r="X226" i="5"/>
  <c r="X31" i="5"/>
  <c r="Y245" i="5"/>
  <c r="Y33" i="5"/>
  <c r="X195" i="5"/>
  <c r="X311" i="5"/>
  <c r="Y294" i="5"/>
  <c r="Y182" i="5"/>
  <c r="X25" i="5"/>
  <c r="Y494" i="5"/>
  <c r="Y443" i="5"/>
  <c r="X303" i="5"/>
  <c r="Y421" i="5"/>
  <c r="Y524" i="5"/>
  <c r="Y176" i="5"/>
  <c r="X44" i="5"/>
  <c r="Y418" i="5"/>
  <c r="X40" i="5"/>
  <c r="X91" i="5"/>
  <c r="X528" i="5"/>
  <c r="X368" i="5"/>
  <c r="X228" i="5"/>
  <c r="X127" i="5"/>
  <c r="Y127" i="5"/>
  <c r="X461" i="5"/>
  <c r="Y461" i="5"/>
  <c r="Y502" i="5"/>
  <c r="Y450" i="5"/>
  <c r="X309" i="5"/>
  <c r="X146" i="5"/>
  <c r="X166" i="5"/>
  <c r="Y109" i="5"/>
  <c r="Y230" i="5"/>
  <c r="X230" i="5"/>
  <c r="X171" i="5"/>
  <c r="Y171" i="5"/>
  <c r="Y113" i="5"/>
  <c r="X113" i="5"/>
  <c r="Y377" i="5"/>
  <c r="X377" i="5"/>
  <c r="Y193" i="5"/>
  <c r="X193" i="5"/>
  <c r="Y285" i="5"/>
  <c r="X285" i="5"/>
  <c r="X235" i="5"/>
  <c r="Y235" i="5"/>
  <c r="X94" i="5"/>
  <c r="Y370" i="5"/>
  <c r="X370" i="5"/>
  <c r="AH11" i="4"/>
  <c r="Y397" i="5"/>
  <c r="X111" i="5"/>
  <c r="X495" i="5"/>
  <c r="Y105" i="5"/>
  <c r="Y396" i="5"/>
  <c r="X367" i="5"/>
  <c r="X414" i="5"/>
  <c r="X462" i="5"/>
  <c r="Y209" i="5"/>
  <c r="X459" i="5"/>
  <c r="Y459" i="5"/>
  <c r="X307" i="5"/>
  <c r="Y307" i="5"/>
  <c r="Y527" i="5"/>
  <c r="AH15" i="4"/>
  <c r="AH53" i="4"/>
  <c r="X534" i="5"/>
  <c r="X227" i="5"/>
  <c r="Y116" i="5"/>
  <c r="Y250" i="5"/>
  <c r="Y107" i="5"/>
  <c r="Y162" i="5"/>
  <c r="X295" i="5"/>
  <c r="Y49" i="5"/>
  <c r="X49" i="5"/>
  <c r="X413" i="5"/>
  <c r="X398" i="5"/>
  <c r="Y419" i="5"/>
  <c r="Y558" i="5"/>
  <c r="Y452" i="5"/>
  <c r="X452" i="5"/>
  <c r="X147" i="5"/>
  <c r="Y147" i="5"/>
  <c r="X47" i="5"/>
  <c r="Y47" i="5"/>
  <c r="Y446" i="5"/>
  <c r="X292" i="5"/>
  <c r="Y336" i="5"/>
  <c r="Y41" i="5"/>
  <c r="X347" i="5"/>
  <c r="Y364" i="5"/>
  <c r="Y185" i="5"/>
  <c r="Y37" i="5"/>
  <c r="Y362" i="5"/>
  <c r="Y411" i="5"/>
  <c r="Y144" i="5"/>
  <c r="Y308" i="5"/>
  <c r="X224" i="5"/>
  <c r="Y337" i="5"/>
  <c r="X231" i="5"/>
  <c r="X335" i="5"/>
  <c r="Y297" i="5"/>
  <c r="Y87" i="5"/>
  <c r="Y547" i="5"/>
  <c r="X547" i="5"/>
  <c r="AH8" i="4"/>
  <c r="Y318" i="5"/>
  <c r="X322" i="5"/>
  <c r="Y134" i="5"/>
  <c r="Y163" i="5"/>
  <c r="Y539" i="5"/>
  <c r="Y379" i="5"/>
  <c r="Y225" i="5"/>
  <c r="X457" i="5"/>
  <c r="Y325" i="5"/>
  <c r="X325" i="5"/>
  <c r="X489" i="5"/>
  <c r="Y489" i="5"/>
  <c r="X205" i="5"/>
  <c r="Y205" i="5"/>
  <c r="AM143" i="4"/>
  <c r="W143" i="4"/>
  <c r="Y143" i="4" s="1"/>
  <c r="Z143" i="4" s="1"/>
  <c r="AJ11" i="5"/>
  <c r="AK11" i="5" s="1"/>
  <c r="AM84" i="4"/>
  <c r="W84" i="4"/>
  <c r="X138" i="5"/>
  <c r="Y499" i="5"/>
  <c r="X499" i="5"/>
  <c r="Y514" i="5"/>
  <c r="X203" i="5"/>
  <c r="Y103" i="5"/>
  <c r="X103" i="5"/>
  <c r="Y404" i="5"/>
  <c r="X404" i="5"/>
  <c r="X345" i="5"/>
  <c r="Y345" i="5"/>
  <c r="W9" i="5"/>
  <c r="T9" i="5"/>
  <c r="AG9" i="5"/>
  <c r="Q9" i="5"/>
  <c r="X118" i="5"/>
  <c r="Y118" i="5"/>
  <c r="X374" i="5"/>
  <c r="Y374" i="5"/>
  <c r="Y315" i="5"/>
  <c r="X315" i="5"/>
  <c r="X516" i="5"/>
  <c r="P326" i="5"/>
  <c r="P32" i="5"/>
  <c r="P375" i="5"/>
  <c r="P445" i="5"/>
  <c r="P93" i="5"/>
  <c r="P342" i="5"/>
  <c r="P195" i="5"/>
  <c r="P279" i="5"/>
  <c r="P242" i="5"/>
  <c r="P465" i="5"/>
  <c r="P263" i="5"/>
  <c r="P210" i="5"/>
  <c r="P72" i="5"/>
  <c r="P454" i="5"/>
  <c r="P270" i="5"/>
  <c r="P475" i="5"/>
  <c r="P254" i="5"/>
  <c r="P98" i="5"/>
  <c r="P460" i="5"/>
  <c r="P492" i="5"/>
  <c r="P282" i="5"/>
  <c r="P172" i="5"/>
  <c r="P132" i="5"/>
  <c r="P413" i="5"/>
  <c r="P438" i="5"/>
  <c r="P336" i="5"/>
  <c r="P428" i="5"/>
  <c r="P115" i="5"/>
  <c r="P140" i="5"/>
  <c r="P154" i="5"/>
  <c r="P528" i="5"/>
  <c r="P322" i="5"/>
  <c r="P398" i="5"/>
  <c r="P327" i="5"/>
  <c r="P332" i="5"/>
  <c r="P53" i="5"/>
  <c r="P213" i="5"/>
  <c r="P409" i="5"/>
  <c r="P385" i="5"/>
  <c r="P557" i="5"/>
  <c r="P560" i="5"/>
  <c r="P27" i="5"/>
  <c r="P36" i="5"/>
  <c r="P504" i="5"/>
  <c r="P266" i="5"/>
  <c r="P264" i="5"/>
  <c r="P468" i="5"/>
  <c r="P11" i="5"/>
  <c r="P476" i="5"/>
  <c r="P436" i="5"/>
  <c r="P146" i="5"/>
  <c r="P548" i="5"/>
  <c r="P78" i="5"/>
  <c r="P352" i="5"/>
  <c r="P104" i="5"/>
  <c r="P404" i="5"/>
  <c r="P382" i="5"/>
  <c r="P239" i="5"/>
  <c r="P33" i="5"/>
  <c r="P479" i="5"/>
  <c r="P247" i="5"/>
  <c r="P477" i="5"/>
  <c r="P143" i="5"/>
  <c r="P505" i="5"/>
  <c r="P538" i="5"/>
  <c r="P376" i="5"/>
  <c r="P121" i="5"/>
  <c r="P109" i="5"/>
  <c r="P388" i="5"/>
  <c r="P131" i="5"/>
  <c r="P373" i="5"/>
  <c r="P116" i="5"/>
  <c r="P537" i="5"/>
  <c r="P514" i="5"/>
  <c r="P499" i="5"/>
  <c r="P311" i="5"/>
  <c r="P387" i="5"/>
  <c r="P170" i="5"/>
  <c r="P248" i="5"/>
  <c r="P318" i="5"/>
  <c r="P293" i="5"/>
  <c r="P464" i="5"/>
  <c r="P128" i="5"/>
  <c r="P35" i="5"/>
  <c r="P22" i="5"/>
  <c r="P364" i="5"/>
  <c r="P530" i="5"/>
  <c r="P296" i="5"/>
  <c r="P486" i="5"/>
  <c r="P230" i="5"/>
  <c r="P452" i="5"/>
  <c r="P295" i="5"/>
  <c r="P187" i="5"/>
  <c r="P163" i="5"/>
  <c r="P66" i="5"/>
  <c r="P356" i="5"/>
  <c r="P369" i="5"/>
  <c r="P312" i="5"/>
  <c r="P51" i="5"/>
  <c r="P467" i="5"/>
  <c r="P12" i="5"/>
  <c r="P134" i="5"/>
  <c r="P501" i="5"/>
  <c r="P315" i="5"/>
  <c r="P152" i="5"/>
  <c r="P106" i="5"/>
  <c r="P67" i="5"/>
  <c r="P240" i="5"/>
  <c r="P553" i="5"/>
  <c r="P357" i="5"/>
  <c r="P473" i="5"/>
  <c r="P105" i="5"/>
  <c r="P396" i="5"/>
  <c r="P215" i="5"/>
  <c r="P150" i="5"/>
  <c r="P194" i="5"/>
  <c r="P103" i="5"/>
  <c r="P304" i="5"/>
  <c r="P75" i="5"/>
  <c r="P201" i="5"/>
  <c r="P298" i="5"/>
  <c r="P457" i="5"/>
  <c r="P395" i="5"/>
  <c r="P427" i="5"/>
  <c r="P156" i="5"/>
  <c r="P56" i="5"/>
  <c r="P219" i="5"/>
  <c r="P258" i="5"/>
  <c r="P453" i="5"/>
  <c r="P419" i="5"/>
  <c r="P440" i="5"/>
  <c r="P372" i="5"/>
  <c r="P144" i="5"/>
  <c r="P439" i="5"/>
  <c r="P273" i="5"/>
  <c r="P392" i="5"/>
  <c r="P28" i="5"/>
  <c r="P435" i="5"/>
  <c r="P474" i="5"/>
  <c r="P490" i="5"/>
  <c r="P100" i="5"/>
  <c r="P168" i="5"/>
  <c r="P19" i="5"/>
  <c r="P360" i="5"/>
  <c r="P193" i="5"/>
  <c r="P160" i="5"/>
  <c r="P124" i="5"/>
  <c r="P229" i="5"/>
  <c r="P255" i="5"/>
  <c r="P299" i="5"/>
  <c r="P268" i="5"/>
  <c r="P54" i="5"/>
  <c r="P503" i="5"/>
  <c r="P207" i="5"/>
  <c r="P543" i="5"/>
  <c r="P149" i="5"/>
  <c r="P44" i="5"/>
  <c r="P80" i="5"/>
  <c r="P269" i="5"/>
  <c r="P158" i="5"/>
  <c r="P523" i="5"/>
  <c r="P233" i="5"/>
  <c r="P330" i="5"/>
  <c r="P378" i="5"/>
  <c r="P192" i="5"/>
  <c r="P246" i="5"/>
  <c r="P200" i="5"/>
  <c r="P287" i="5"/>
  <c r="P232" i="5"/>
  <c r="P88" i="5"/>
  <c r="P218" i="5"/>
  <c r="P259" i="5"/>
  <c r="P231" i="5"/>
  <c r="P161" i="5"/>
  <c r="P549" i="5"/>
  <c r="P175" i="5"/>
  <c r="P433" i="5"/>
  <c r="P281" i="5"/>
  <c r="P502" i="5"/>
  <c r="P24" i="5"/>
  <c r="P120" i="5"/>
  <c r="P506" i="5"/>
  <c r="P112" i="5"/>
  <c r="P97" i="5"/>
  <c r="P459" i="5"/>
  <c r="P173" i="5"/>
  <c r="P74" i="5"/>
  <c r="P493" i="5"/>
  <c r="P344" i="5"/>
  <c r="P186" i="5"/>
  <c r="P339" i="5"/>
  <c r="P346" i="5"/>
  <c r="P145" i="5"/>
  <c r="P226" i="5"/>
  <c r="P489" i="5"/>
  <c r="P261" i="5"/>
  <c r="P370" i="5"/>
  <c r="P283" i="5"/>
  <c r="P221" i="5"/>
  <c r="P46" i="5"/>
  <c r="P554" i="5"/>
  <c r="P177" i="5"/>
  <c r="P516" i="5"/>
  <c r="P358" i="5"/>
  <c r="P447" i="5"/>
  <c r="P204" i="5"/>
  <c r="P275" i="5"/>
  <c r="P434" i="5"/>
  <c r="P211" i="5"/>
  <c r="P85" i="5"/>
  <c r="P38" i="5"/>
  <c r="P350" i="5"/>
  <c r="P71" i="5"/>
  <c r="P485" i="5"/>
  <c r="P271" i="5"/>
  <c r="P43" i="5"/>
  <c r="P250" i="5"/>
  <c r="P559" i="5"/>
  <c r="P73" i="5"/>
  <c r="P347" i="5"/>
  <c r="P49" i="5"/>
  <c r="P472" i="5"/>
  <c r="P48" i="5"/>
  <c r="P110" i="5"/>
  <c r="P442" i="5"/>
  <c r="P420" i="5"/>
  <c r="P400" i="5"/>
  <c r="P397" i="5"/>
  <c r="P34" i="5"/>
  <c r="P203" i="5"/>
  <c r="P519" i="5"/>
  <c r="P123" i="5"/>
  <c r="P113" i="5"/>
  <c r="P305" i="5"/>
  <c r="P243" i="5"/>
  <c r="P47" i="5"/>
  <c r="P386" i="5"/>
  <c r="P313" i="5"/>
  <c r="P424" i="5"/>
  <c r="P328" i="5"/>
  <c r="P402" i="5"/>
  <c r="P294" i="5"/>
  <c r="P343" i="5"/>
  <c r="P359" i="5"/>
  <c r="P61" i="5"/>
  <c r="P354" i="5"/>
  <c r="P544" i="5"/>
  <c r="P345" i="5"/>
  <c r="P63" i="5"/>
  <c r="P135" i="5"/>
  <c r="P362" i="5"/>
  <c r="P165" i="5"/>
  <c r="P507" i="5"/>
  <c r="P338" i="5"/>
  <c r="P518" i="5"/>
  <c r="P421" i="5"/>
  <c r="P69" i="5"/>
  <c r="P183" i="5"/>
  <c r="P290" i="5"/>
  <c r="P510" i="5"/>
  <c r="P300" i="5"/>
  <c r="P189" i="5"/>
  <c r="P23" i="5"/>
  <c r="P462" i="5"/>
  <c r="P59" i="5"/>
  <c r="P450" i="5"/>
  <c r="P306" i="5"/>
  <c r="P374" i="5"/>
  <c r="P353" i="5"/>
  <c r="P535" i="5"/>
  <c r="P235" i="5"/>
  <c r="P301" i="5"/>
  <c r="P209" i="5"/>
  <c r="P390" i="5"/>
  <c r="P65" i="5"/>
  <c r="P317" i="5"/>
  <c r="P81" i="5"/>
  <c r="P237" i="5"/>
  <c r="P202" i="5"/>
  <c r="P176" i="5"/>
  <c r="P236" i="5"/>
  <c r="P188" i="5"/>
  <c r="P451" i="5"/>
  <c r="P411" i="5"/>
  <c r="P122" i="5"/>
  <c r="P547" i="5"/>
  <c r="P83" i="5"/>
  <c r="P274" i="5"/>
  <c r="P129" i="5"/>
  <c r="P111" i="5"/>
  <c r="P491" i="5"/>
  <c r="P166" i="5"/>
  <c r="P288" i="5"/>
  <c r="P214" i="5"/>
  <c r="P449" i="5"/>
  <c r="P363" i="5"/>
  <c r="P77" i="5"/>
  <c r="P171" i="5"/>
  <c r="P216" i="5"/>
  <c r="P431" i="5"/>
  <c r="P119" i="5"/>
  <c r="P245" i="5"/>
  <c r="P463" i="5"/>
  <c r="P222" i="5"/>
  <c r="P118" i="5"/>
  <c r="P552" i="5"/>
  <c r="P205" i="5"/>
  <c r="P401" i="5"/>
  <c r="P280" i="5"/>
  <c r="P522" i="5"/>
  <c r="P422" i="5"/>
  <c r="P84" i="5"/>
  <c r="P94" i="5"/>
  <c r="P368" i="5"/>
  <c r="P456" i="5"/>
  <c r="P86" i="5"/>
  <c r="P414" i="5"/>
  <c r="P515" i="5"/>
  <c r="P162" i="5"/>
  <c r="P92" i="5"/>
  <c r="P484" i="5"/>
  <c r="P31" i="5"/>
  <c r="P334" i="5"/>
  <c r="P52" i="5"/>
  <c r="P406" i="5"/>
  <c r="P249" i="5"/>
  <c r="P126" i="5"/>
  <c r="P418" i="5"/>
  <c r="P212" i="5"/>
  <c r="P366" i="5"/>
  <c r="P417" i="5"/>
  <c r="P539" i="5"/>
  <c r="P365" i="5"/>
  <c r="P335" i="5"/>
  <c r="P348" i="5"/>
  <c r="P310" i="5"/>
  <c r="P542" i="5"/>
  <c r="P532" i="5"/>
  <c r="P470" i="5"/>
  <c r="P130" i="5"/>
  <c r="P89" i="5"/>
  <c r="P276" i="5"/>
  <c r="P471" i="5"/>
  <c r="P399" i="5"/>
  <c r="P29" i="5"/>
  <c r="P244" i="5"/>
  <c r="P410" i="5"/>
  <c r="P153" i="5"/>
  <c r="P308" i="5"/>
  <c r="P540" i="5"/>
  <c r="P147" i="5"/>
  <c r="P164" i="5"/>
  <c r="P408" i="5"/>
  <c r="P319" i="5"/>
  <c r="P511" i="5"/>
  <c r="P320" i="5"/>
  <c r="P443" i="5"/>
  <c r="P289" i="5"/>
  <c r="P50" i="5"/>
  <c r="P151" i="5"/>
  <c r="P291" i="5"/>
  <c r="P480" i="5"/>
  <c r="P37" i="5"/>
  <c r="P531" i="5"/>
  <c r="P534" i="5"/>
  <c r="P225" i="5"/>
  <c r="P136" i="5"/>
  <c r="P526" i="5"/>
  <c r="P224" i="5"/>
  <c r="P333" i="5"/>
  <c r="P340" i="5"/>
  <c r="P556" i="5"/>
  <c r="P430" i="5"/>
  <c r="P96" i="5"/>
  <c r="P139" i="5"/>
  <c r="P384" i="5"/>
  <c r="P496" i="5"/>
  <c r="P91" i="5"/>
  <c r="P355" i="5"/>
  <c r="P558" i="5"/>
  <c r="P208" i="5"/>
  <c r="P142" i="5"/>
  <c r="P533" i="5"/>
  <c r="P181" i="5"/>
  <c r="P377" i="5"/>
  <c r="P198" i="5"/>
  <c r="P498" i="5"/>
  <c r="P278" i="5"/>
  <c r="P10" i="5"/>
  <c r="P114" i="5"/>
  <c r="P323" i="5"/>
  <c r="P525" i="5"/>
  <c r="P513" i="5"/>
  <c r="P512" i="5"/>
  <c r="P367" i="5"/>
  <c r="P90" i="5"/>
  <c r="P196" i="5"/>
  <c r="P316" i="5"/>
  <c r="P536" i="5"/>
  <c r="P148" i="5"/>
  <c r="P551" i="5"/>
  <c r="P546" i="5"/>
  <c r="P455" i="5"/>
  <c r="P79" i="5"/>
  <c r="P541" i="5"/>
  <c r="P241" i="5"/>
  <c r="P314" i="5"/>
  <c r="P285" i="5"/>
  <c r="P500" i="5"/>
  <c r="P302" i="5"/>
  <c r="P39" i="5"/>
  <c r="P101" i="5"/>
  <c r="P303" i="5"/>
  <c r="P371" i="5"/>
  <c r="P62" i="5"/>
  <c r="P307" i="5"/>
  <c r="P68" i="5"/>
  <c r="P169" i="5"/>
  <c r="P416" i="5"/>
  <c r="P412" i="5"/>
  <c r="P41" i="5"/>
  <c r="P555" i="5"/>
  <c r="P127" i="5"/>
  <c r="P379" i="5"/>
  <c r="P117" i="5"/>
  <c r="P297" i="5"/>
  <c r="P260" i="5"/>
  <c r="P8" i="5"/>
  <c r="P108" i="5"/>
  <c r="P337" i="5"/>
  <c r="P481" i="5"/>
  <c r="P448" i="5"/>
  <c r="P125" i="5"/>
  <c r="P425" i="5"/>
  <c r="P178" i="5"/>
  <c r="P157" i="5"/>
  <c r="P466" i="5"/>
  <c r="P137" i="5"/>
  <c r="P426" i="5"/>
  <c r="P228" i="5"/>
  <c r="P380" i="5"/>
  <c r="P361" i="5"/>
  <c r="P42" i="5"/>
  <c r="P159" i="5"/>
  <c r="P383" i="5"/>
  <c r="P461" i="5"/>
  <c r="P441" i="5"/>
  <c r="P517" i="5"/>
  <c r="P381" i="5"/>
  <c r="P190" i="5"/>
  <c r="P107" i="5"/>
  <c r="P509" i="5"/>
  <c r="P99" i="5"/>
  <c r="P238" i="5"/>
  <c r="P95" i="5"/>
  <c r="P284" i="5"/>
  <c r="P253" i="5"/>
  <c r="P217" i="5"/>
  <c r="P21" i="5"/>
  <c r="P286" i="5"/>
  <c r="P437" i="5"/>
  <c r="P469" i="5"/>
  <c r="P394" i="5"/>
  <c r="P251" i="5"/>
  <c r="P60" i="5"/>
  <c r="P155" i="5"/>
  <c r="P331" i="5"/>
  <c r="P521" i="5"/>
  <c r="P58" i="5"/>
  <c r="P446" i="5"/>
  <c r="P432" i="5"/>
  <c r="P483" i="5"/>
  <c r="P351" i="5"/>
  <c r="P527" i="5"/>
  <c r="P257" i="5"/>
  <c r="P197" i="5"/>
  <c r="P482" i="5"/>
  <c r="P444" i="5"/>
  <c r="P429" i="5"/>
  <c r="P234" i="5"/>
  <c r="P184" i="5"/>
  <c r="P141" i="5"/>
  <c r="P277" i="5"/>
  <c r="P341" i="5"/>
  <c r="P87" i="5"/>
  <c r="P185" i="5"/>
  <c r="P64" i="5"/>
  <c r="P70" i="5"/>
  <c r="P550" i="5"/>
  <c r="P138" i="5"/>
  <c r="P191" i="5"/>
  <c r="P30" i="5"/>
  <c r="P524" i="5"/>
  <c r="P13" i="5"/>
  <c r="P494" i="5"/>
  <c r="P223" i="5"/>
  <c r="P252" i="5"/>
  <c r="P57" i="5"/>
  <c r="P262" i="5"/>
  <c r="P520" i="5"/>
  <c r="P403" i="5"/>
  <c r="P423" i="5"/>
  <c r="P206" i="5"/>
  <c r="P133" i="5"/>
  <c r="P76" i="5"/>
  <c r="P407" i="5"/>
  <c r="P26" i="5"/>
  <c r="P324" i="5"/>
  <c r="P220" i="5"/>
  <c r="P292" i="5"/>
  <c r="P309" i="5"/>
  <c r="P40" i="5"/>
  <c r="P82" i="5"/>
  <c r="P329" i="5"/>
  <c r="P497" i="5"/>
  <c r="P389" i="5"/>
  <c r="P349" i="5"/>
  <c r="P265" i="5"/>
  <c r="P179" i="5"/>
  <c r="P45" i="5"/>
  <c r="P488" i="5"/>
  <c r="P180" i="5"/>
  <c r="P321" i="5"/>
  <c r="P415" i="5"/>
  <c r="P267" i="5"/>
  <c r="P174" i="5"/>
  <c r="P167" i="5"/>
  <c r="P20" i="5"/>
  <c r="P227" i="5"/>
  <c r="P393" i="5"/>
  <c r="P256" i="5"/>
  <c r="P529" i="5"/>
  <c r="P272" i="5"/>
  <c r="P9" i="5"/>
  <c r="P102" i="5"/>
  <c r="P199" i="5"/>
  <c r="P508" i="5"/>
  <c r="P478" i="5"/>
  <c r="P25" i="5"/>
  <c r="P325" i="5"/>
  <c r="P545" i="5"/>
  <c r="P458" i="5"/>
  <c r="P495" i="5"/>
  <c r="P182" i="5"/>
  <c r="P55" i="5"/>
  <c r="P391" i="5"/>
  <c r="P405" i="5"/>
  <c r="S474" i="5"/>
  <c r="R474" i="5"/>
  <c r="R548" i="5"/>
  <c r="S548" i="5"/>
  <c r="R525" i="5"/>
  <c r="S525" i="5"/>
  <c r="S36" i="5"/>
  <c r="R36" i="5"/>
  <c r="R134" i="5"/>
  <c r="S134" i="5"/>
  <c r="R397" i="5"/>
  <c r="S397" i="5"/>
  <c r="S501" i="5"/>
  <c r="R501" i="5"/>
  <c r="R394" i="5"/>
  <c r="S394" i="5"/>
  <c r="R157" i="5"/>
  <c r="S157" i="5"/>
  <c r="R194" i="5"/>
  <c r="S194" i="5"/>
  <c r="S270" i="5"/>
  <c r="R270" i="5"/>
  <c r="R286" i="5"/>
  <c r="S286" i="5"/>
  <c r="R214" i="5"/>
  <c r="S214" i="5"/>
  <c r="R241" i="5"/>
  <c r="S241" i="5"/>
  <c r="R190" i="5"/>
  <c r="S190" i="5"/>
  <c r="S132" i="5"/>
  <c r="R132" i="5"/>
  <c r="R162" i="5"/>
  <c r="S162" i="5"/>
  <c r="S530" i="5"/>
  <c r="R530" i="5"/>
  <c r="S483" i="5"/>
  <c r="R483" i="5"/>
  <c r="R282" i="5"/>
  <c r="S282" i="5"/>
  <c r="S211" i="5"/>
  <c r="R211" i="5"/>
  <c r="R171" i="5"/>
  <c r="S171" i="5"/>
  <c r="R121" i="5"/>
  <c r="S121" i="5"/>
  <c r="R61" i="5"/>
  <c r="S61" i="5"/>
  <c r="S522" i="5"/>
  <c r="R522" i="5"/>
  <c r="S477" i="5"/>
  <c r="R477" i="5"/>
  <c r="R370" i="5"/>
  <c r="S370" i="5"/>
  <c r="S257" i="5"/>
  <c r="R257" i="5"/>
  <c r="R313" i="5"/>
  <c r="S313" i="5"/>
  <c r="R164" i="5"/>
  <c r="S164" i="5"/>
  <c r="S89" i="5"/>
  <c r="R89" i="5"/>
  <c r="S42" i="5"/>
  <c r="R42" i="5"/>
  <c r="S518" i="5"/>
  <c r="R518" i="5"/>
  <c r="R473" i="5"/>
  <c r="S473" i="5"/>
  <c r="R249" i="5"/>
  <c r="S249" i="5"/>
  <c r="S141" i="5"/>
  <c r="R141" i="5"/>
  <c r="R233" i="5"/>
  <c r="S233" i="5"/>
  <c r="S105" i="5"/>
  <c r="R105" i="5"/>
  <c r="R63" i="5"/>
  <c r="S63" i="5"/>
  <c r="S443" i="5"/>
  <c r="R443" i="5"/>
  <c r="R467" i="5"/>
  <c r="S467" i="5"/>
  <c r="R351" i="5"/>
  <c r="S351" i="5"/>
  <c r="S350" i="5"/>
  <c r="R350" i="5"/>
  <c r="S299" i="5"/>
  <c r="R299" i="5"/>
  <c r="R183" i="5"/>
  <c r="S183" i="5"/>
  <c r="S103" i="5"/>
  <c r="R103" i="5"/>
  <c r="S26" i="5"/>
  <c r="R26" i="5"/>
  <c r="S502" i="5"/>
  <c r="R502" i="5"/>
  <c r="S468" i="5"/>
  <c r="R468" i="5"/>
  <c r="S442" i="5"/>
  <c r="R442" i="5"/>
  <c r="S326" i="5"/>
  <c r="R326" i="5"/>
  <c r="S228" i="5"/>
  <c r="R228" i="5"/>
  <c r="R83" i="5"/>
  <c r="S83" i="5"/>
  <c r="R58" i="5"/>
  <c r="S58" i="5"/>
  <c r="R364" i="5"/>
  <c r="S364" i="5"/>
  <c r="R452" i="5"/>
  <c r="S452" i="5"/>
  <c r="R338" i="5"/>
  <c r="S338" i="5"/>
  <c r="S346" i="5"/>
  <c r="R346" i="5"/>
  <c r="S291" i="5"/>
  <c r="R291" i="5"/>
  <c r="S179" i="5"/>
  <c r="R179" i="5"/>
  <c r="R82" i="5"/>
  <c r="S82" i="5"/>
  <c r="S516" i="5"/>
  <c r="R516" i="5"/>
  <c r="S444" i="5"/>
  <c r="R444" i="5"/>
  <c r="S387" i="5"/>
  <c r="R387" i="5"/>
  <c r="S407" i="5"/>
  <c r="R407" i="5"/>
  <c r="R285" i="5"/>
  <c r="S285" i="5"/>
  <c r="R107" i="5"/>
  <c r="S107" i="5"/>
  <c r="R100" i="5"/>
  <c r="S100" i="5"/>
  <c r="S50" i="5"/>
  <c r="R50" i="5"/>
  <c r="S383" i="5"/>
  <c r="R383" i="5"/>
  <c r="S521" i="5"/>
  <c r="R521" i="5"/>
  <c r="S495" i="5"/>
  <c r="R495" i="5"/>
  <c r="R542" i="5"/>
  <c r="S542" i="5"/>
  <c r="R459" i="5"/>
  <c r="S459" i="5"/>
  <c r="S119" i="5"/>
  <c r="R119" i="5"/>
  <c r="R205" i="5"/>
  <c r="S205" i="5"/>
  <c r="R325" i="5"/>
  <c r="S325" i="5"/>
  <c r="S310" i="5"/>
  <c r="R310" i="5"/>
  <c r="S303" i="5"/>
  <c r="R303" i="5"/>
  <c r="S66" i="5"/>
  <c r="R66" i="5"/>
  <c r="S244" i="5"/>
  <c r="R244" i="5"/>
  <c r="R139" i="5"/>
  <c r="S139" i="5"/>
  <c r="S158" i="5"/>
  <c r="R158" i="5"/>
  <c r="R131" i="5"/>
  <c r="S131" i="5"/>
  <c r="R109" i="5"/>
  <c r="S109" i="5"/>
  <c r="R93" i="5"/>
  <c r="S93" i="5"/>
  <c r="R484" i="5"/>
  <c r="S484" i="5"/>
  <c r="S461" i="5"/>
  <c r="R461" i="5"/>
  <c r="S438" i="5"/>
  <c r="R438" i="5"/>
  <c r="S307" i="5"/>
  <c r="R307" i="5"/>
  <c r="R219" i="5"/>
  <c r="S219" i="5"/>
  <c r="R149" i="5"/>
  <c r="S149" i="5"/>
  <c r="R38" i="5"/>
  <c r="S38" i="5"/>
  <c r="R552" i="5"/>
  <c r="S552" i="5"/>
  <c r="S435" i="5"/>
  <c r="R435" i="5"/>
  <c r="R263" i="5"/>
  <c r="S263" i="5"/>
  <c r="R329" i="5"/>
  <c r="S329" i="5"/>
  <c r="R269" i="5"/>
  <c r="S269" i="5"/>
  <c r="S166" i="5"/>
  <c r="R166" i="5"/>
  <c r="S110" i="5"/>
  <c r="R110" i="5"/>
  <c r="S19" i="5"/>
  <c r="R19" i="5"/>
  <c r="R465" i="5"/>
  <c r="S465" i="5"/>
  <c r="R453" i="5"/>
  <c r="S453" i="5"/>
  <c r="S423" i="5"/>
  <c r="R423" i="5"/>
  <c r="R300" i="5"/>
  <c r="S300" i="5"/>
  <c r="R191" i="5"/>
  <c r="S191" i="5"/>
  <c r="R140" i="5"/>
  <c r="S140" i="5"/>
  <c r="R59" i="5"/>
  <c r="S59" i="5"/>
  <c r="R532" i="5"/>
  <c r="S532" i="5"/>
  <c r="R422" i="5"/>
  <c r="S422" i="5"/>
  <c r="S414" i="5"/>
  <c r="R414" i="5"/>
  <c r="S317" i="5"/>
  <c r="R317" i="5"/>
  <c r="R246" i="5"/>
  <c r="S246" i="5"/>
  <c r="R145" i="5"/>
  <c r="S145" i="5"/>
  <c r="R87" i="5"/>
  <c r="S87" i="5"/>
  <c r="S539" i="5"/>
  <c r="R539" i="5"/>
  <c r="S449" i="5"/>
  <c r="R449" i="5"/>
  <c r="R393" i="5"/>
  <c r="S393" i="5"/>
  <c r="S411" i="5"/>
  <c r="R411" i="5"/>
  <c r="R293" i="5"/>
  <c r="S293" i="5"/>
  <c r="S186" i="5"/>
  <c r="R186" i="5"/>
  <c r="R125" i="5"/>
  <c r="S125" i="5"/>
  <c r="S27" i="5"/>
  <c r="R27" i="5"/>
  <c r="R508" i="5"/>
  <c r="S508" i="5"/>
  <c r="R410" i="5"/>
  <c r="S410" i="5"/>
  <c r="R404" i="5"/>
  <c r="S404" i="5"/>
  <c r="S309" i="5"/>
  <c r="R309" i="5"/>
  <c r="R213" i="5"/>
  <c r="S213" i="5"/>
  <c r="S188" i="5"/>
  <c r="R188" i="5"/>
  <c r="S95" i="5"/>
  <c r="R95" i="5"/>
  <c r="R544" i="5"/>
  <c r="S544" i="5"/>
  <c r="S510" i="5"/>
  <c r="R510" i="5"/>
  <c r="S412" i="5"/>
  <c r="R412" i="5"/>
  <c r="R372" i="5"/>
  <c r="S372" i="5"/>
  <c r="S229" i="5"/>
  <c r="R229" i="5"/>
  <c r="R199" i="5"/>
  <c r="S199" i="5"/>
  <c r="R137" i="5"/>
  <c r="S137" i="5"/>
  <c r="S25" i="5"/>
  <c r="R25" i="5"/>
  <c r="R262" i="5"/>
  <c r="S262" i="5"/>
  <c r="R267" i="5"/>
  <c r="S267" i="5"/>
  <c r="S405" i="5"/>
  <c r="R405" i="5"/>
  <c r="R511" i="5"/>
  <c r="S511" i="5"/>
  <c r="R490" i="5"/>
  <c r="S490" i="5"/>
  <c r="R537" i="5"/>
  <c r="S537" i="5"/>
  <c r="S65" i="5"/>
  <c r="R65" i="5"/>
  <c r="R49" i="5"/>
  <c r="S49" i="5"/>
  <c r="R54" i="5"/>
  <c r="S54" i="5"/>
  <c r="R528" i="5"/>
  <c r="S528" i="5"/>
  <c r="R428" i="5"/>
  <c r="S428" i="5"/>
  <c r="S122" i="5"/>
  <c r="R122" i="5"/>
  <c r="R78" i="5"/>
  <c r="S78" i="5"/>
  <c r="S37" i="5"/>
  <c r="R37" i="5"/>
  <c r="S34" i="5"/>
  <c r="R34" i="5"/>
  <c r="R39" i="5"/>
  <c r="S39" i="5"/>
  <c r="S505" i="5"/>
  <c r="R505" i="5"/>
  <c r="S437" i="5"/>
  <c r="R437" i="5"/>
  <c r="S381" i="5"/>
  <c r="R381" i="5"/>
  <c r="R396" i="5"/>
  <c r="S396" i="5"/>
  <c r="R281" i="5"/>
  <c r="S281" i="5"/>
  <c r="R251" i="5"/>
  <c r="S251" i="5"/>
  <c r="S98" i="5"/>
  <c r="R98" i="5"/>
  <c r="R46" i="5"/>
  <c r="S46" i="5"/>
  <c r="S481" i="5"/>
  <c r="R481" i="5"/>
  <c r="R337" i="5"/>
  <c r="S337" i="5"/>
  <c r="R388" i="5"/>
  <c r="S388" i="5"/>
  <c r="R287" i="5"/>
  <c r="S287" i="5"/>
  <c r="S101" i="5"/>
  <c r="R101" i="5"/>
  <c r="S163" i="5"/>
  <c r="R163" i="5"/>
  <c r="R91" i="5"/>
  <c r="S91" i="5"/>
  <c r="R429" i="5"/>
  <c r="S429" i="5"/>
  <c r="S342" i="5"/>
  <c r="R342" i="5"/>
  <c r="S359" i="5"/>
  <c r="R359" i="5"/>
  <c r="S386" i="5"/>
  <c r="R386" i="5"/>
  <c r="S259" i="5"/>
  <c r="R259" i="5"/>
  <c r="S238" i="5"/>
  <c r="R238" i="5"/>
  <c r="R154" i="5"/>
  <c r="S154" i="5"/>
  <c r="S35" i="5"/>
  <c r="R35" i="5"/>
  <c r="S447" i="5"/>
  <c r="R447" i="5"/>
  <c r="S252" i="5"/>
  <c r="R252" i="5"/>
  <c r="S379" i="5"/>
  <c r="R379" i="5"/>
  <c r="R278" i="5"/>
  <c r="S278" i="5"/>
  <c r="S237" i="5"/>
  <c r="R237" i="5"/>
  <c r="S92" i="5"/>
  <c r="R92" i="5"/>
  <c r="S77" i="5"/>
  <c r="R77" i="5"/>
  <c r="R403" i="5"/>
  <c r="S403" i="5"/>
  <c r="S520" i="5"/>
  <c r="R520" i="5"/>
  <c r="S421" i="5"/>
  <c r="R421" i="5"/>
  <c r="R380" i="5"/>
  <c r="S380" i="5"/>
  <c r="S253" i="5"/>
  <c r="R253" i="5"/>
  <c r="S235" i="5"/>
  <c r="R235" i="5"/>
  <c r="S151" i="5"/>
  <c r="R151" i="5"/>
  <c r="S30" i="5"/>
  <c r="R30" i="5"/>
  <c r="R559" i="5"/>
  <c r="S559" i="5"/>
  <c r="R524" i="5"/>
  <c r="S524" i="5"/>
  <c r="R365" i="5"/>
  <c r="S365" i="5"/>
  <c r="S275" i="5"/>
  <c r="R275" i="5"/>
  <c r="S231" i="5"/>
  <c r="R231" i="5"/>
  <c r="R155" i="5"/>
  <c r="S155" i="5"/>
  <c r="S71" i="5"/>
  <c r="R71" i="5"/>
  <c r="R558" i="5"/>
  <c r="S558" i="5"/>
  <c r="S486" i="5"/>
  <c r="R486" i="5"/>
  <c r="R377" i="5"/>
  <c r="S377" i="5"/>
  <c r="S289" i="5"/>
  <c r="R289" i="5"/>
  <c r="S323" i="5"/>
  <c r="R323" i="5"/>
  <c r="S178" i="5"/>
  <c r="R178" i="5"/>
  <c r="S108" i="5"/>
  <c r="R108" i="5"/>
  <c r="S47" i="5"/>
  <c r="R47" i="5"/>
  <c r="S212" i="5"/>
  <c r="R212" i="5"/>
  <c r="R148" i="5"/>
  <c r="S148" i="5"/>
  <c r="S193" i="5"/>
  <c r="R193" i="5"/>
  <c r="S260" i="5"/>
  <c r="R260" i="5"/>
  <c r="R22" i="5"/>
  <c r="S22" i="5"/>
  <c r="R560" i="5"/>
  <c r="S560" i="5"/>
  <c r="S182" i="5"/>
  <c r="R182" i="5"/>
  <c r="S462" i="5"/>
  <c r="R462" i="5"/>
  <c r="R97" i="5"/>
  <c r="S97" i="5"/>
  <c r="R62" i="5"/>
  <c r="S62" i="5"/>
  <c r="S84" i="5"/>
  <c r="R84" i="5"/>
  <c r="S458" i="5"/>
  <c r="R458" i="5"/>
  <c r="R513" i="5"/>
  <c r="S513" i="5"/>
  <c r="R507" i="5"/>
  <c r="S507" i="5"/>
  <c r="S551" i="5"/>
  <c r="R551" i="5"/>
  <c r="S533" i="5"/>
  <c r="R533" i="5"/>
  <c r="R506" i="5"/>
  <c r="S506" i="5"/>
  <c r="R406" i="5"/>
  <c r="S406" i="5"/>
  <c r="S371" i="5"/>
  <c r="R371" i="5"/>
  <c r="R218" i="5"/>
  <c r="S218" i="5"/>
  <c r="R198" i="5"/>
  <c r="S198" i="5"/>
  <c r="S135" i="5"/>
  <c r="R135" i="5"/>
  <c r="R43" i="5"/>
  <c r="S43" i="5"/>
  <c r="S545" i="5"/>
  <c r="R545" i="5"/>
  <c r="S519" i="5"/>
  <c r="R519" i="5"/>
  <c r="S354" i="5"/>
  <c r="R354" i="5"/>
  <c r="S265" i="5"/>
  <c r="R265" i="5"/>
  <c r="S217" i="5"/>
  <c r="R217" i="5"/>
  <c r="R147" i="5"/>
  <c r="S147" i="5"/>
  <c r="S81" i="5"/>
  <c r="R81" i="5"/>
  <c r="R466" i="5"/>
  <c r="S466" i="5"/>
  <c r="S492" i="5"/>
  <c r="R492" i="5"/>
  <c r="S398" i="5"/>
  <c r="R398" i="5"/>
  <c r="S334" i="5"/>
  <c r="R334" i="5"/>
  <c r="R196" i="5"/>
  <c r="S196" i="5"/>
  <c r="R181" i="5"/>
  <c r="S181" i="5"/>
  <c r="S123" i="5"/>
  <c r="R123" i="5"/>
  <c r="R23" i="5"/>
  <c r="S23" i="5"/>
  <c r="S541" i="5"/>
  <c r="R541" i="5"/>
  <c r="S503" i="5"/>
  <c r="R503" i="5"/>
  <c r="R343" i="5"/>
  <c r="S343" i="5"/>
  <c r="R243" i="5"/>
  <c r="S243" i="5"/>
  <c r="S206" i="5"/>
  <c r="R206" i="5"/>
  <c r="R129" i="5"/>
  <c r="S129" i="5"/>
  <c r="S70" i="5"/>
  <c r="R70" i="5"/>
  <c r="S557" i="5"/>
  <c r="R557" i="5"/>
  <c r="S489" i="5"/>
  <c r="R489" i="5"/>
  <c r="S395" i="5"/>
  <c r="R395" i="5"/>
  <c r="R306" i="5"/>
  <c r="S306" i="5"/>
  <c r="S331" i="5"/>
  <c r="R331" i="5"/>
  <c r="R202" i="5"/>
  <c r="S202" i="5"/>
  <c r="R117" i="5"/>
  <c r="S117" i="5"/>
  <c r="R20" i="5"/>
  <c r="S20" i="5"/>
  <c r="R536" i="5"/>
  <c r="S536" i="5"/>
  <c r="R500" i="5"/>
  <c r="S500" i="5"/>
  <c r="S314" i="5"/>
  <c r="R314" i="5"/>
  <c r="R223" i="5"/>
  <c r="S223" i="5"/>
  <c r="S204" i="5"/>
  <c r="R204" i="5"/>
  <c r="S126" i="5"/>
  <c r="R126" i="5"/>
  <c r="S69" i="5"/>
  <c r="R69" i="5"/>
  <c r="S550" i="5"/>
  <c r="R550" i="5"/>
  <c r="S446" i="5"/>
  <c r="R446" i="5"/>
  <c r="S327" i="5"/>
  <c r="R327" i="5"/>
  <c r="R341" i="5"/>
  <c r="S341" i="5"/>
  <c r="R284" i="5"/>
  <c r="S284" i="5"/>
  <c r="R175" i="5"/>
  <c r="S175" i="5"/>
  <c r="S44" i="5"/>
  <c r="R44" i="5"/>
  <c r="R311" i="5"/>
  <c r="S311" i="5"/>
  <c r="S222" i="5"/>
  <c r="R222" i="5"/>
  <c r="S215" i="5"/>
  <c r="R215" i="5"/>
  <c r="R209" i="5"/>
  <c r="S209" i="5"/>
  <c r="S333" i="5"/>
  <c r="R333" i="5"/>
  <c r="S127" i="5"/>
  <c r="R127" i="5"/>
  <c r="R116" i="5"/>
  <c r="S116" i="5"/>
  <c r="S439" i="5"/>
  <c r="R439" i="5"/>
  <c r="S113" i="5"/>
  <c r="R113" i="5"/>
  <c r="R167" i="5"/>
  <c r="S167" i="5"/>
  <c r="S543" i="5"/>
  <c r="R543" i="5"/>
  <c r="S362" i="5"/>
  <c r="R362" i="5"/>
  <c r="S493" i="5"/>
  <c r="R493" i="5"/>
  <c r="S470" i="5"/>
  <c r="R470" i="5"/>
  <c r="R434" i="5"/>
  <c r="S434" i="5"/>
  <c r="R549" i="5"/>
  <c r="S549" i="5"/>
  <c r="R482" i="5"/>
  <c r="S482" i="5"/>
  <c r="R374" i="5"/>
  <c r="S374" i="5"/>
  <c r="S273" i="5"/>
  <c r="R273" i="5"/>
  <c r="R316" i="5"/>
  <c r="S316" i="5"/>
  <c r="S170" i="5"/>
  <c r="R170" i="5"/>
  <c r="S99" i="5"/>
  <c r="R99" i="5"/>
  <c r="S45" i="5"/>
  <c r="R45" i="5"/>
  <c r="S529" i="5"/>
  <c r="R529" i="5"/>
  <c r="S475" i="5"/>
  <c r="R475" i="5"/>
  <c r="R279" i="5"/>
  <c r="S279" i="5"/>
  <c r="R173" i="5"/>
  <c r="S173" i="5"/>
  <c r="R165" i="5"/>
  <c r="S165" i="5"/>
  <c r="R118" i="5"/>
  <c r="S118" i="5"/>
  <c r="R57" i="5"/>
  <c r="S57" i="5"/>
  <c r="R460" i="5"/>
  <c r="S460" i="5"/>
  <c r="S469" i="5"/>
  <c r="R469" i="5"/>
  <c r="S358" i="5"/>
  <c r="R358" i="5"/>
  <c r="R357" i="5"/>
  <c r="S357" i="5"/>
  <c r="R302" i="5"/>
  <c r="S302" i="5"/>
  <c r="R185" i="5"/>
  <c r="S185" i="5"/>
  <c r="S106" i="5"/>
  <c r="R106" i="5"/>
  <c r="S31" i="5"/>
  <c r="R31" i="5"/>
  <c r="R509" i="5"/>
  <c r="S509" i="5"/>
  <c r="R471" i="5"/>
  <c r="S471" i="5"/>
  <c r="S245" i="5"/>
  <c r="R245" i="5"/>
  <c r="S330" i="5"/>
  <c r="R330" i="5"/>
  <c r="S230" i="5"/>
  <c r="R230" i="5"/>
  <c r="R102" i="5"/>
  <c r="S102" i="5"/>
  <c r="R60" i="5"/>
  <c r="S60" i="5"/>
  <c r="S430" i="5"/>
  <c r="R430" i="5"/>
  <c r="R457" i="5"/>
  <c r="S457" i="5"/>
  <c r="S347" i="5"/>
  <c r="R347" i="5"/>
  <c r="S348" i="5"/>
  <c r="R348" i="5"/>
  <c r="R292" i="5"/>
  <c r="S292" i="5"/>
  <c r="S180" i="5"/>
  <c r="R180" i="5"/>
  <c r="S94" i="5"/>
  <c r="R94" i="5"/>
  <c r="S21" i="5"/>
  <c r="R21" i="5"/>
  <c r="S497" i="5"/>
  <c r="R497" i="5"/>
  <c r="S463" i="5"/>
  <c r="R463" i="5"/>
  <c r="S441" i="5"/>
  <c r="R441" i="5"/>
  <c r="R321" i="5"/>
  <c r="S321" i="5"/>
  <c r="R225" i="5"/>
  <c r="S225" i="5"/>
  <c r="R159" i="5"/>
  <c r="S159" i="5"/>
  <c r="S55" i="5"/>
  <c r="R55" i="5"/>
  <c r="S498" i="5"/>
  <c r="R498" i="5"/>
  <c r="S369" i="5"/>
  <c r="R369" i="5"/>
  <c r="R402" i="5"/>
  <c r="S402" i="5"/>
  <c r="R297" i="5"/>
  <c r="S297" i="5"/>
  <c r="R203" i="5"/>
  <c r="S203" i="5"/>
  <c r="R174" i="5"/>
  <c r="S174" i="5"/>
  <c r="R86" i="5"/>
  <c r="S86" i="5"/>
  <c r="S261" i="5"/>
  <c r="R261" i="5"/>
  <c r="R361" i="5"/>
  <c r="S361" i="5"/>
  <c r="S356" i="5"/>
  <c r="R356" i="5"/>
  <c r="R349" i="5"/>
  <c r="S349" i="5"/>
  <c r="R332" i="5"/>
  <c r="S332" i="5"/>
  <c r="S340" i="5"/>
  <c r="R340" i="5"/>
  <c r="R487" i="5"/>
  <c r="S487" i="5"/>
  <c r="S494" i="5"/>
  <c r="R494" i="5"/>
  <c r="R454" i="5"/>
  <c r="S454" i="5"/>
  <c r="R478" i="5"/>
  <c r="S478" i="5"/>
  <c r="R517" i="5"/>
  <c r="S517" i="5"/>
  <c r="R366" i="5"/>
  <c r="S366" i="5"/>
  <c r="S401" i="5"/>
  <c r="R401" i="5"/>
  <c r="S367" i="5"/>
  <c r="R367" i="5"/>
  <c r="S419" i="5"/>
  <c r="R419" i="5"/>
  <c r="S555" i="5"/>
  <c r="R555" i="5"/>
  <c r="S436" i="5"/>
  <c r="R436" i="5"/>
  <c r="S322" i="5"/>
  <c r="R322" i="5"/>
  <c r="S339" i="5"/>
  <c r="R339" i="5"/>
  <c r="R276" i="5"/>
  <c r="S276" i="5"/>
  <c r="S172" i="5"/>
  <c r="R172" i="5"/>
  <c r="S111" i="5"/>
  <c r="R111" i="5"/>
  <c r="AG11" i="5"/>
  <c r="Q11" i="5"/>
  <c r="W11" i="5"/>
  <c r="R479" i="5"/>
  <c r="S479" i="5"/>
  <c r="S455" i="5"/>
  <c r="R455" i="5"/>
  <c r="S431" i="5"/>
  <c r="R431" i="5"/>
  <c r="R305" i="5"/>
  <c r="S305" i="5"/>
  <c r="S210" i="5"/>
  <c r="R210" i="5"/>
  <c r="S146" i="5"/>
  <c r="R146" i="5"/>
  <c r="R67" i="5"/>
  <c r="S67" i="5"/>
  <c r="S547" i="5"/>
  <c r="R547" i="5"/>
  <c r="R425" i="5"/>
  <c r="S425" i="5"/>
  <c r="R417" i="5"/>
  <c r="S417" i="5"/>
  <c r="R319" i="5"/>
  <c r="S319" i="5"/>
  <c r="S258" i="5"/>
  <c r="R258" i="5"/>
  <c r="R161" i="5"/>
  <c r="S161" i="5"/>
  <c r="S90" i="5"/>
  <c r="R90" i="5"/>
  <c r="S540" i="5"/>
  <c r="R540" i="5"/>
  <c r="R450" i="5"/>
  <c r="S450" i="5"/>
  <c r="R433" i="5"/>
  <c r="S433" i="5"/>
  <c r="R418" i="5"/>
  <c r="S418" i="5"/>
  <c r="R298" i="5"/>
  <c r="S298" i="5"/>
  <c r="S189" i="5"/>
  <c r="R189" i="5"/>
  <c r="S138" i="5"/>
  <c r="R138" i="5"/>
  <c r="S51" i="5"/>
  <c r="R51" i="5"/>
  <c r="R515" i="5"/>
  <c r="S515" i="5"/>
  <c r="S420" i="5"/>
  <c r="R420" i="5"/>
  <c r="R413" i="5"/>
  <c r="S413" i="5"/>
  <c r="R315" i="5"/>
  <c r="S315" i="5"/>
  <c r="S227" i="5"/>
  <c r="R227" i="5"/>
  <c r="R130" i="5"/>
  <c r="S130" i="5"/>
  <c r="R85" i="5"/>
  <c r="S85" i="5"/>
  <c r="S531" i="5"/>
  <c r="R531" i="5"/>
  <c r="S445" i="5"/>
  <c r="R445" i="5"/>
  <c r="R390" i="5"/>
  <c r="S390" i="5"/>
  <c r="S409" i="5"/>
  <c r="R409" i="5"/>
  <c r="S290" i="5"/>
  <c r="R290" i="5"/>
  <c r="S177" i="5"/>
  <c r="R177" i="5"/>
  <c r="S114" i="5"/>
  <c r="R114" i="5"/>
  <c r="R52" i="5"/>
  <c r="S52" i="5"/>
  <c r="R553" i="5"/>
  <c r="S553" i="5"/>
  <c r="S523" i="5"/>
  <c r="R523" i="5"/>
  <c r="S363" i="5"/>
  <c r="R363" i="5"/>
  <c r="S274" i="5"/>
  <c r="R274" i="5"/>
  <c r="S226" i="5"/>
  <c r="R226" i="5"/>
  <c r="R150" i="5"/>
  <c r="S150" i="5"/>
  <c r="R73" i="5"/>
  <c r="S73" i="5"/>
  <c r="S476" i="5"/>
  <c r="R476" i="5"/>
  <c r="S266" i="5"/>
  <c r="R266" i="5"/>
  <c r="S28" i="5"/>
  <c r="R28" i="5"/>
  <c r="S133" i="5"/>
  <c r="R133" i="5"/>
  <c r="R74" i="5"/>
  <c r="S74" i="5"/>
  <c r="R207" i="5"/>
  <c r="S207" i="5"/>
  <c r="R239" i="5"/>
  <c r="S239" i="5"/>
  <c r="S295" i="5"/>
  <c r="R295" i="5"/>
  <c r="R221" i="5"/>
  <c r="S221" i="5"/>
  <c r="R143" i="5"/>
  <c r="S143" i="5"/>
  <c r="S335" i="5"/>
  <c r="R335" i="5"/>
  <c r="S353" i="5"/>
  <c r="R353" i="5"/>
  <c r="S389" i="5"/>
  <c r="R389" i="5"/>
  <c r="R355" i="5"/>
  <c r="S355" i="5"/>
  <c r="R254" i="5"/>
  <c r="S254" i="5"/>
  <c r="R324" i="5"/>
  <c r="S324" i="5"/>
  <c r="S491" i="5"/>
  <c r="R491" i="5"/>
  <c r="R345" i="5"/>
  <c r="S345" i="5"/>
  <c r="R399" i="5"/>
  <c r="S399" i="5"/>
  <c r="R294" i="5"/>
  <c r="S294" i="5"/>
  <c r="S187" i="5"/>
  <c r="R187" i="5"/>
  <c r="R169" i="5"/>
  <c r="S169" i="5"/>
  <c r="R76" i="5"/>
  <c r="S76" i="5"/>
  <c r="R499" i="5"/>
  <c r="S499" i="5"/>
  <c r="S426" i="5"/>
  <c r="R426" i="5"/>
  <c r="R378" i="5"/>
  <c r="S378" i="5"/>
  <c r="S391" i="5"/>
  <c r="R391" i="5"/>
  <c r="S271" i="5"/>
  <c r="R271" i="5"/>
  <c r="S250" i="5"/>
  <c r="R250" i="5"/>
  <c r="R53" i="5"/>
  <c r="S53" i="5"/>
  <c r="S41" i="5"/>
  <c r="R41" i="5"/>
  <c r="R451" i="5"/>
  <c r="S451" i="5"/>
  <c r="R301" i="5"/>
  <c r="S301" i="5"/>
  <c r="S382" i="5"/>
  <c r="R382" i="5"/>
  <c r="S283" i="5"/>
  <c r="R283" i="5"/>
  <c r="R242" i="5"/>
  <c r="S242" i="5"/>
  <c r="R115" i="5"/>
  <c r="S115" i="5"/>
  <c r="R79" i="5"/>
  <c r="S79" i="5"/>
  <c r="S427" i="5"/>
  <c r="R427" i="5"/>
  <c r="R197" i="5"/>
  <c r="S197" i="5"/>
  <c r="S318" i="5"/>
  <c r="R318" i="5"/>
  <c r="S385" i="5"/>
  <c r="R385" i="5"/>
  <c r="R255" i="5"/>
  <c r="S255" i="5"/>
  <c r="S236" i="5"/>
  <c r="R236" i="5"/>
  <c r="R153" i="5"/>
  <c r="S153" i="5"/>
  <c r="S33" i="5"/>
  <c r="R33" i="5"/>
  <c r="R268" i="5"/>
  <c r="S268" i="5"/>
  <c r="S527" i="5"/>
  <c r="R527" i="5"/>
  <c r="R373" i="5"/>
  <c r="S373" i="5"/>
  <c r="S277" i="5"/>
  <c r="R277" i="5"/>
  <c r="S234" i="5"/>
  <c r="R234" i="5"/>
  <c r="S156" i="5"/>
  <c r="R156" i="5"/>
  <c r="S75" i="5"/>
  <c r="R75" i="5"/>
  <c r="R556" i="5"/>
  <c r="S556" i="5"/>
  <c r="S514" i="5"/>
  <c r="R514" i="5"/>
  <c r="R415" i="5"/>
  <c r="S415" i="5"/>
  <c r="S375" i="5"/>
  <c r="R375" i="5"/>
  <c r="R247" i="5"/>
  <c r="S247" i="5"/>
  <c r="S201" i="5"/>
  <c r="R201" i="5"/>
  <c r="R142" i="5"/>
  <c r="S142" i="5"/>
  <c r="S29" i="5"/>
  <c r="R29" i="5"/>
  <c r="S535" i="5"/>
  <c r="R535" i="5"/>
  <c r="R485" i="5"/>
  <c r="S485" i="5"/>
  <c r="S308" i="5"/>
  <c r="R308" i="5"/>
  <c r="S220" i="5"/>
  <c r="R220" i="5"/>
  <c r="S195" i="5"/>
  <c r="R195" i="5"/>
  <c r="R124" i="5"/>
  <c r="S124" i="5"/>
  <c r="R68" i="5"/>
  <c r="S68" i="5"/>
  <c r="AP525" i="5"/>
  <c r="AR525" i="5" s="1"/>
  <c r="AP23" i="5"/>
  <c r="AR23" i="5" s="1"/>
  <c r="AP462" i="5"/>
  <c r="AQ462" i="5" s="1"/>
  <c r="AP483" i="5"/>
  <c r="AQ483" i="5" s="1"/>
  <c r="AP244" i="5"/>
  <c r="AQ244" i="5" s="1"/>
  <c r="AP66" i="5"/>
  <c r="AR66" i="5" s="1"/>
  <c r="AP350" i="5"/>
  <c r="AR350" i="5" s="1"/>
  <c r="AP21" i="5"/>
  <c r="AR21" i="5" s="1"/>
  <c r="AP118" i="5"/>
  <c r="AQ118" i="5" s="1"/>
  <c r="AP219" i="5"/>
  <c r="AR219" i="5" s="1"/>
  <c r="AP345" i="5"/>
  <c r="AR345" i="5" s="1"/>
  <c r="AP498" i="5"/>
  <c r="AQ498" i="5" s="1"/>
  <c r="AP496" i="5"/>
  <c r="AQ496" i="5" s="1"/>
  <c r="AP392" i="5"/>
  <c r="AR392" i="5" s="1"/>
  <c r="AP428" i="5"/>
  <c r="AP194" i="5"/>
  <c r="AQ194" i="5" s="1"/>
  <c r="AP524" i="5"/>
  <c r="AQ524" i="5" s="1"/>
  <c r="AP142" i="5"/>
  <c r="AR142" i="5" s="1"/>
  <c r="AP544" i="5"/>
  <c r="AR544" i="5" s="1"/>
  <c r="AP93" i="5"/>
  <c r="AR93" i="5" s="1"/>
  <c r="AP372" i="5"/>
  <c r="AR372" i="5" s="1"/>
  <c r="AP436" i="5"/>
  <c r="AQ436" i="5" s="1"/>
  <c r="AP158" i="5"/>
  <c r="AR158" i="5" s="1"/>
  <c r="AP45" i="5"/>
  <c r="AQ45" i="5" s="1"/>
  <c r="AP237" i="5"/>
  <c r="AQ237" i="5" s="1"/>
  <c r="AP34" i="5"/>
  <c r="AQ34" i="5" s="1"/>
  <c r="AP368" i="5"/>
  <c r="AQ368" i="5" s="1"/>
  <c r="AP330" i="5"/>
  <c r="AQ330" i="5" s="1"/>
  <c r="AP205" i="5"/>
  <c r="AP522" i="5"/>
  <c r="AQ522" i="5" s="1"/>
  <c r="AP302" i="5"/>
  <c r="AR302" i="5" s="1"/>
  <c r="AP190" i="5"/>
  <c r="AR190" i="5" s="1"/>
  <c r="AP337" i="5"/>
  <c r="AQ337" i="5" s="1"/>
  <c r="AP22" i="5"/>
  <c r="AR22" i="5" s="1"/>
  <c r="AP257" i="5"/>
  <c r="AR257" i="5" s="1"/>
  <c r="AP558" i="5"/>
  <c r="AQ558" i="5" s="1"/>
  <c r="AP278" i="5"/>
  <c r="AQ278" i="5" s="1"/>
  <c r="AP438" i="5"/>
  <c r="AR438" i="5" s="1"/>
  <c r="AP477" i="5"/>
  <c r="AQ477" i="5" s="1"/>
  <c r="AP82" i="5"/>
  <c r="AQ82" i="5" s="1"/>
  <c r="AP20" i="5"/>
  <c r="AQ20" i="5" s="1"/>
  <c r="AP184" i="5"/>
  <c r="AR184" i="5" s="1"/>
  <c r="AP545" i="5"/>
  <c r="AR545" i="5" s="1"/>
  <c r="AP402" i="5"/>
  <c r="AR402" i="5" s="1"/>
  <c r="AP444" i="5"/>
  <c r="AR444" i="5" s="1"/>
  <c r="AP259" i="5"/>
  <c r="AR259" i="5" s="1"/>
  <c r="AP417" i="5"/>
  <c r="AQ417" i="5" s="1"/>
  <c r="AP460" i="5"/>
  <c r="AR460" i="5" s="1"/>
  <c r="AP144" i="5"/>
  <c r="AQ144" i="5" s="1"/>
  <c r="AP165" i="5"/>
  <c r="AQ165" i="5" s="1"/>
  <c r="AP542" i="5"/>
  <c r="AR542" i="5" s="1"/>
  <c r="AP262" i="5"/>
  <c r="AQ262" i="5" s="1"/>
  <c r="AP87" i="5"/>
  <c r="AR87" i="5" s="1"/>
  <c r="AP103" i="5"/>
  <c r="AQ103" i="5" s="1"/>
  <c r="AP211" i="5"/>
  <c r="AR211" i="5" s="1"/>
  <c r="AP378" i="5"/>
  <c r="AQ378" i="5" s="1"/>
  <c r="AP138" i="5"/>
  <c r="AQ138" i="5" s="1"/>
  <c r="AP493" i="5"/>
  <c r="AQ493" i="5" s="1"/>
  <c r="AP495" i="5"/>
  <c r="AQ495" i="5" s="1"/>
  <c r="AP104" i="5"/>
  <c r="AR104" i="5" s="1"/>
  <c r="AP384" i="5"/>
  <c r="AQ384" i="5" s="1"/>
  <c r="AP261" i="5"/>
  <c r="AQ261" i="5" s="1"/>
  <c r="AP70" i="5"/>
  <c r="AQ70" i="5" s="1"/>
  <c r="AP56" i="5"/>
  <c r="AQ56" i="5" s="1"/>
  <c r="AP397" i="5"/>
  <c r="AQ397" i="5" s="1"/>
  <c r="AP457" i="5"/>
  <c r="AR457" i="5" s="1"/>
  <c r="AP370" i="5"/>
  <c r="AR370" i="5" s="1"/>
  <c r="AP454" i="5"/>
  <c r="AR454" i="5" s="1"/>
  <c r="AP318" i="5"/>
  <c r="AR318" i="5" s="1"/>
  <c r="U312" i="5"/>
  <c r="V312" i="5"/>
  <c r="AN150" i="5"/>
  <c r="AO150" i="5"/>
  <c r="AO399" i="5"/>
  <c r="AN399" i="5"/>
  <c r="AO381" i="5"/>
  <c r="AN381" i="5"/>
  <c r="AO60" i="5"/>
  <c r="AN60" i="5"/>
  <c r="AO408" i="5"/>
  <c r="AN408" i="5"/>
  <c r="U427" i="5"/>
  <c r="V427" i="5"/>
  <c r="U409" i="5"/>
  <c r="V409" i="5"/>
  <c r="U271" i="5"/>
  <c r="V271" i="5"/>
  <c r="V557" i="5"/>
  <c r="U557" i="5"/>
  <c r="AN59" i="5"/>
  <c r="AO59" i="5"/>
  <c r="AP533" i="5"/>
  <c r="AQ533" i="5" s="1"/>
  <c r="AP404" i="5"/>
  <c r="AR404" i="5" s="1"/>
  <c r="AP488" i="5"/>
  <c r="AR488" i="5" s="1"/>
  <c r="AP291" i="5"/>
  <c r="AR291" i="5" s="1"/>
  <c r="AP260" i="5"/>
  <c r="AQ260" i="5" s="1"/>
  <c r="AP37" i="5"/>
  <c r="AR37" i="5" s="1"/>
  <c r="AP422" i="5"/>
  <c r="AQ422" i="5" s="1"/>
  <c r="AP226" i="5"/>
  <c r="AQ226" i="5" s="1"/>
  <c r="AP420" i="5"/>
  <c r="AR420" i="5" s="1"/>
  <c r="U384" i="5"/>
  <c r="V384" i="5"/>
  <c r="AN254" i="5"/>
  <c r="AO254" i="5"/>
  <c r="AO361" i="5"/>
  <c r="AN361" i="5"/>
  <c r="AO478" i="5"/>
  <c r="AN478" i="5"/>
  <c r="AN398" i="5"/>
  <c r="AO398" i="5"/>
  <c r="AN511" i="5"/>
  <c r="AO511" i="5"/>
  <c r="AO271" i="5"/>
  <c r="AN271" i="5"/>
  <c r="AN503" i="5"/>
  <c r="AO503" i="5"/>
  <c r="AN373" i="5"/>
  <c r="AO373" i="5"/>
  <c r="AO146" i="5"/>
  <c r="AN146" i="5"/>
  <c r="AO401" i="5"/>
  <c r="AN401" i="5"/>
  <c r="AN143" i="5"/>
  <c r="AO143" i="5"/>
  <c r="AN441" i="5"/>
  <c r="AO441" i="5"/>
  <c r="AN226" i="5"/>
  <c r="AO226" i="5"/>
  <c r="AO542" i="5"/>
  <c r="AN542" i="5"/>
  <c r="AN377" i="5"/>
  <c r="AO377" i="5"/>
  <c r="AO190" i="5"/>
  <c r="AN190" i="5"/>
  <c r="AO553" i="5"/>
  <c r="AN553" i="5"/>
  <c r="AN321" i="5"/>
  <c r="AO321" i="5"/>
  <c r="AN21" i="5"/>
  <c r="AO21" i="5"/>
  <c r="AN196" i="5"/>
  <c r="AO196" i="5"/>
  <c r="AN36" i="5"/>
  <c r="AO36" i="5"/>
  <c r="AN257" i="5"/>
  <c r="AO257" i="5"/>
  <c r="AN376" i="5"/>
  <c r="AO376" i="5"/>
  <c r="U88" i="5"/>
  <c r="V88" i="5"/>
  <c r="AN248" i="5"/>
  <c r="AO248" i="5"/>
  <c r="AO57" i="5"/>
  <c r="AN57" i="5"/>
  <c r="U24" i="5"/>
  <c r="V24" i="5"/>
  <c r="AO280" i="5"/>
  <c r="AN280" i="5"/>
  <c r="U376" i="5"/>
  <c r="V376" i="5"/>
  <c r="V309" i="5"/>
  <c r="U309" i="5"/>
  <c r="V497" i="5"/>
  <c r="U497" i="5"/>
  <c r="U490" i="5"/>
  <c r="V490" i="5"/>
  <c r="V556" i="5"/>
  <c r="U556" i="5"/>
  <c r="V541" i="5"/>
  <c r="U541" i="5"/>
  <c r="U421" i="5"/>
  <c r="V421" i="5"/>
  <c r="V370" i="5"/>
  <c r="U370" i="5"/>
  <c r="U404" i="5"/>
  <c r="V404" i="5"/>
  <c r="V551" i="5"/>
  <c r="U551" i="5"/>
  <c r="V483" i="5"/>
  <c r="U483" i="5"/>
  <c r="U365" i="5"/>
  <c r="V365" i="5"/>
  <c r="V343" i="5"/>
  <c r="U343" i="5"/>
  <c r="U241" i="5"/>
  <c r="V241" i="5"/>
  <c r="U137" i="5"/>
  <c r="V137" i="5"/>
  <c r="V543" i="5"/>
  <c r="U543" i="5"/>
  <c r="V358" i="5"/>
  <c r="U358" i="5"/>
  <c r="V294" i="5"/>
  <c r="U294" i="5"/>
  <c r="U335" i="5"/>
  <c r="V335" i="5"/>
  <c r="U265" i="5"/>
  <c r="V265" i="5"/>
  <c r="U130" i="5"/>
  <c r="V130" i="5"/>
  <c r="U527" i="5"/>
  <c r="V527" i="5"/>
  <c r="U333" i="5"/>
  <c r="V333" i="5"/>
  <c r="V361" i="5"/>
  <c r="U361" i="5"/>
  <c r="U330" i="5"/>
  <c r="V330" i="5"/>
  <c r="V263" i="5"/>
  <c r="U263" i="5"/>
  <c r="U119" i="5"/>
  <c r="V119" i="5"/>
  <c r="V545" i="5"/>
  <c r="U545" i="5"/>
  <c r="U501" i="5"/>
  <c r="V501" i="5"/>
  <c r="V355" i="5"/>
  <c r="U355" i="5"/>
  <c r="U326" i="5"/>
  <c r="V326" i="5"/>
  <c r="U260" i="5"/>
  <c r="V260" i="5"/>
  <c r="U115" i="5"/>
  <c r="V115" i="5"/>
  <c r="U505" i="5"/>
  <c r="V505" i="5"/>
  <c r="U369" i="5"/>
  <c r="V369" i="5"/>
  <c r="U258" i="5"/>
  <c r="V258" i="5"/>
  <c r="U206" i="5"/>
  <c r="V206" i="5"/>
  <c r="U36" i="5"/>
  <c r="V36" i="5"/>
  <c r="U463" i="5"/>
  <c r="V463" i="5"/>
  <c r="V499" i="5"/>
  <c r="U499" i="5"/>
  <c r="U341" i="5"/>
  <c r="V341" i="5"/>
  <c r="V299" i="5"/>
  <c r="U299" i="5"/>
  <c r="V215" i="5"/>
  <c r="U215" i="5"/>
  <c r="V63" i="5"/>
  <c r="U63" i="5"/>
  <c r="U517" i="5"/>
  <c r="V517" i="5"/>
  <c r="U385" i="5"/>
  <c r="V385" i="5"/>
  <c r="V292" i="5"/>
  <c r="U292" i="5"/>
  <c r="U211" i="5"/>
  <c r="V211" i="5"/>
  <c r="V39" i="5"/>
  <c r="U39" i="5"/>
  <c r="U94" i="5"/>
  <c r="V94" i="5"/>
  <c r="U66" i="5"/>
  <c r="V66" i="5"/>
  <c r="U70" i="5"/>
  <c r="V70" i="5"/>
  <c r="U448" i="5"/>
  <c r="V448" i="5"/>
  <c r="AP218" i="5"/>
  <c r="AR218" i="5" s="1"/>
  <c r="AO507" i="5"/>
  <c r="AN507" i="5"/>
  <c r="AO316" i="5"/>
  <c r="AN316" i="5"/>
  <c r="V456" i="5"/>
  <c r="U456" i="5"/>
  <c r="U248" i="5"/>
  <c r="V248" i="5"/>
  <c r="V297" i="5"/>
  <c r="U297" i="5"/>
  <c r="V548" i="5"/>
  <c r="U548" i="5"/>
  <c r="U396" i="5"/>
  <c r="V396" i="5"/>
  <c r="U430" i="5"/>
  <c r="V430" i="5"/>
  <c r="AP535" i="5"/>
  <c r="AQ535" i="5" s="1"/>
  <c r="AP551" i="5"/>
  <c r="AQ551" i="5" s="1"/>
  <c r="AP327" i="5"/>
  <c r="AQ327" i="5" s="1"/>
  <c r="AP134" i="5"/>
  <c r="AQ134" i="5" s="1"/>
  <c r="AP326" i="5"/>
  <c r="AR326" i="5" s="1"/>
  <c r="AP463" i="5"/>
  <c r="AQ463" i="5" s="1"/>
  <c r="AP77" i="5"/>
  <c r="AR77" i="5" s="1"/>
  <c r="AP126" i="5"/>
  <c r="AQ126" i="5" s="1"/>
  <c r="AP117" i="5"/>
  <c r="AQ117" i="5" s="1"/>
  <c r="AP530" i="5"/>
  <c r="AR530" i="5" s="1"/>
  <c r="AP321" i="5"/>
  <c r="AQ321" i="5" s="1"/>
  <c r="AN368" i="5"/>
  <c r="AO368" i="5"/>
  <c r="AO279" i="5"/>
  <c r="AN279" i="5"/>
  <c r="AN182" i="5"/>
  <c r="AO182" i="5"/>
  <c r="AO393" i="5"/>
  <c r="AN393" i="5"/>
  <c r="AO275" i="5"/>
  <c r="AN275" i="5"/>
  <c r="AN403" i="5"/>
  <c r="AO403" i="5"/>
  <c r="AN183" i="5"/>
  <c r="AO183" i="5"/>
  <c r="AO453" i="5"/>
  <c r="AN453" i="5"/>
  <c r="AN330" i="5"/>
  <c r="AO330" i="5"/>
  <c r="AO54" i="5"/>
  <c r="AN54" i="5"/>
  <c r="AO342" i="5"/>
  <c r="AN342" i="5"/>
  <c r="AN138" i="5"/>
  <c r="AO138" i="5"/>
  <c r="AN470" i="5"/>
  <c r="AO470" i="5"/>
  <c r="AN213" i="5"/>
  <c r="AO213" i="5"/>
  <c r="AO558" i="5"/>
  <c r="AN558" i="5"/>
  <c r="AN428" i="5"/>
  <c r="AO428" i="5"/>
  <c r="AN180" i="5"/>
  <c r="AO180" i="5"/>
  <c r="AN545" i="5"/>
  <c r="AO545" i="5"/>
  <c r="AO303" i="5"/>
  <c r="AN303" i="5"/>
  <c r="AO22" i="5"/>
  <c r="AN22" i="5"/>
  <c r="AN201" i="5"/>
  <c r="AO201" i="5"/>
  <c r="AM69" i="4"/>
  <c r="AN69" i="4" s="1"/>
  <c r="W69" i="4"/>
  <c r="U504" i="5"/>
  <c r="V504" i="5"/>
  <c r="AN337" i="5"/>
  <c r="AO337" i="5"/>
  <c r="V336" i="5"/>
  <c r="U336" i="5"/>
  <c r="AM71" i="4"/>
  <c r="AN71" i="4" s="1"/>
  <c r="W71" i="4"/>
  <c r="Y71" i="4" s="1"/>
  <c r="Z71" i="4" s="1"/>
  <c r="AF71" i="4" s="1"/>
  <c r="AN344" i="5"/>
  <c r="AO344" i="5"/>
  <c r="AO308" i="5"/>
  <c r="AN308" i="5"/>
  <c r="AN120" i="5"/>
  <c r="AO120" i="5"/>
  <c r="V224" i="5"/>
  <c r="U224" i="5"/>
  <c r="AO177" i="5"/>
  <c r="AN177" i="5"/>
  <c r="U264" i="5"/>
  <c r="V264" i="5"/>
  <c r="V480" i="5"/>
  <c r="U480" i="5"/>
  <c r="U314" i="5"/>
  <c r="V314" i="5"/>
  <c r="V444" i="5"/>
  <c r="U444" i="5"/>
  <c r="U422" i="5"/>
  <c r="V422" i="5"/>
  <c r="U395" i="5"/>
  <c r="V395" i="5"/>
  <c r="V491" i="5"/>
  <c r="U491" i="5"/>
  <c r="U325" i="5"/>
  <c r="V325" i="5"/>
  <c r="V390" i="5"/>
  <c r="U390" i="5"/>
  <c r="U359" i="5"/>
  <c r="V359" i="5"/>
  <c r="U450" i="5"/>
  <c r="V450" i="5"/>
  <c r="U459" i="5"/>
  <c r="V459" i="5"/>
  <c r="U319" i="5"/>
  <c r="V319" i="5"/>
  <c r="V305" i="5"/>
  <c r="U305" i="5"/>
  <c r="U210" i="5"/>
  <c r="V210" i="5"/>
  <c r="U126" i="5"/>
  <c r="V126" i="5"/>
  <c r="V426" i="5"/>
  <c r="U426" i="5"/>
  <c r="U347" i="5"/>
  <c r="V347" i="5"/>
  <c r="V407" i="5"/>
  <c r="U407" i="5"/>
  <c r="V303" i="5"/>
  <c r="U303" i="5"/>
  <c r="U207" i="5"/>
  <c r="V207" i="5"/>
  <c r="U131" i="5"/>
  <c r="V131" i="5"/>
  <c r="U412" i="5"/>
  <c r="V412" i="5"/>
  <c r="U503" i="5"/>
  <c r="V503" i="5"/>
  <c r="U275" i="5"/>
  <c r="V275" i="5"/>
  <c r="V300" i="5"/>
  <c r="U300" i="5"/>
  <c r="V236" i="5"/>
  <c r="U236" i="5"/>
  <c r="U123" i="5"/>
  <c r="V123" i="5"/>
  <c r="U465" i="5"/>
  <c r="V465" i="5"/>
  <c r="U474" i="5"/>
  <c r="V474" i="5"/>
  <c r="U391" i="5"/>
  <c r="V391" i="5"/>
  <c r="V298" i="5"/>
  <c r="U298" i="5"/>
  <c r="U235" i="5"/>
  <c r="V235" i="5"/>
  <c r="U101" i="5"/>
  <c r="V101" i="5"/>
  <c r="U460" i="5"/>
  <c r="V460" i="5"/>
  <c r="V433" i="5"/>
  <c r="U433" i="5"/>
  <c r="V327" i="5"/>
  <c r="U327" i="5"/>
  <c r="U172" i="5"/>
  <c r="V172" i="5"/>
  <c r="U479" i="5"/>
  <c r="V479" i="5"/>
  <c r="U434" i="5"/>
  <c r="V434" i="5"/>
  <c r="U458" i="5"/>
  <c r="V458" i="5"/>
  <c r="V429" i="5"/>
  <c r="U429" i="5"/>
  <c r="V251" i="5"/>
  <c r="U251" i="5"/>
  <c r="V204" i="5"/>
  <c r="U204" i="5"/>
  <c r="U22" i="5"/>
  <c r="V22" i="5"/>
  <c r="U431" i="5"/>
  <c r="V431" i="5"/>
  <c r="V317" i="5"/>
  <c r="U317" i="5"/>
  <c r="U250" i="5"/>
  <c r="V250" i="5"/>
  <c r="V201" i="5"/>
  <c r="U201" i="5"/>
  <c r="V139" i="5"/>
  <c r="U139" i="5"/>
  <c r="V41" i="5"/>
  <c r="U41" i="5"/>
  <c r="V33" i="5"/>
  <c r="U33" i="5"/>
  <c r="U34" i="5"/>
  <c r="V34" i="5"/>
  <c r="V296" i="5"/>
  <c r="U296" i="5"/>
  <c r="U432" i="5"/>
  <c r="V432" i="5"/>
  <c r="AO78" i="5"/>
  <c r="AN78" i="5"/>
  <c r="AO181" i="5"/>
  <c r="AN181" i="5"/>
  <c r="AO134" i="5"/>
  <c r="AN134" i="5"/>
  <c r="AO166" i="5"/>
  <c r="AN166" i="5"/>
  <c r="U440" i="5"/>
  <c r="V440" i="5"/>
  <c r="V476" i="5"/>
  <c r="U476" i="5"/>
  <c r="V291" i="5"/>
  <c r="U291" i="5"/>
  <c r="U281" i="5"/>
  <c r="V281" i="5"/>
  <c r="V229" i="5"/>
  <c r="U229" i="5"/>
  <c r="U269" i="5"/>
  <c r="V269" i="5"/>
  <c r="U268" i="5"/>
  <c r="V268" i="5"/>
  <c r="U133" i="5"/>
  <c r="V133" i="5"/>
  <c r="U346" i="5"/>
  <c r="V346" i="5"/>
  <c r="U154" i="5"/>
  <c r="V154" i="5"/>
  <c r="V38" i="5"/>
  <c r="U38" i="5"/>
  <c r="AM64" i="4"/>
  <c r="AN64" i="4" s="1"/>
  <c r="W64" i="4"/>
  <c r="X64" i="4" s="1"/>
  <c r="AJ64" i="4" s="1"/>
  <c r="AP78" i="5"/>
  <c r="AR78" i="5" s="1"/>
  <c r="AP448" i="5"/>
  <c r="AQ448" i="5" s="1"/>
  <c r="AP487" i="5"/>
  <c r="AR487" i="5" s="1"/>
  <c r="U8" i="5"/>
  <c r="V8" i="5"/>
  <c r="AN288" i="5"/>
  <c r="AO288" i="5"/>
  <c r="AN378" i="5"/>
  <c r="AO378" i="5"/>
  <c r="AO516" i="5"/>
  <c r="AN516" i="5"/>
  <c r="AO529" i="5"/>
  <c r="AN529" i="5"/>
  <c r="AN522" i="5"/>
  <c r="AO522" i="5"/>
  <c r="AN19" i="5"/>
  <c r="AO19" i="5"/>
  <c r="AO366" i="5"/>
  <c r="AN366" i="5"/>
  <c r="AN154" i="5"/>
  <c r="AO154" i="5"/>
  <c r="AO391" i="5"/>
  <c r="AN391" i="5"/>
  <c r="AO269" i="5"/>
  <c r="AN269" i="5"/>
  <c r="AN524" i="5"/>
  <c r="AO524" i="5"/>
  <c r="AO250" i="5"/>
  <c r="AN250" i="5"/>
  <c r="AN55" i="5"/>
  <c r="AO55" i="5"/>
  <c r="AN386" i="5"/>
  <c r="AO386" i="5"/>
  <c r="AO126" i="5"/>
  <c r="AN126" i="5"/>
  <c r="AO489" i="5"/>
  <c r="AN489" i="5"/>
  <c r="AN310" i="5"/>
  <c r="AO310" i="5"/>
  <c r="AO86" i="5"/>
  <c r="AN86" i="5"/>
  <c r="AO461" i="5"/>
  <c r="AN461" i="5"/>
  <c r="AN214" i="5"/>
  <c r="AO214" i="5"/>
  <c r="AO357" i="5"/>
  <c r="AN357" i="5"/>
  <c r="AN124" i="5"/>
  <c r="AO124" i="5"/>
  <c r="V80" i="5"/>
  <c r="U80" i="5"/>
  <c r="V288" i="5"/>
  <c r="U288" i="5"/>
  <c r="AM126" i="4"/>
  <c r="AN126" i="4" s="1"/>
  <c r="AM19" i="4"/>
  <c r="AN19" i="4" s="1"/>
  <c r="W19" i="4"/>
  <c r="Y19" i="4" s="1"/>
  <c r="Z19" i="4" s="1"/>
  <c r="AF19" i="4" s="1"/>
  <c r="AN148" i="5"/>
  <c r="AO148" i="5"/>
  <c r="U56" i="5"/>
  <c r="V56" i="5"/>
  <c r="W30" i="4"/>
  <c r="Y30" i="4" s="1"/>
  <c r="Z30" i="4" s="1"/>
  <c r="AF30" i="4" s="1"/>
  <c r="AN424" i="5"/>
  <c r="AO424" i="5"/>
  <c r="U496" i="5"/>
  <c r="V496" i="5"/>
  <c r="V344" i="5"/>
  <c r="U344" i="5"/>
  <c r="AO448" i="5"/>
  <c r="AN448" i="5"/>
  <c r="AM44" i="4"/>
  <c r="AN44" i="4" s="1"/>
  <c r="W44" i="4"/>
  <c r="Y44" i="4" s="1"/>
  <c r="Z44" i="4" s="1"/>
  <c r="U100" i="5"/>
  <c r="V100" i="5"/>
  <c r="U462" i="5"/>
  <c r="V462" i="5"/>
  <c r="V418" i="5"/>
  <c r="U418" i="5"/>
  <c r="V380" i="5"/>
  <c r="U380" i="5"/>
  <c r="U242" i="5"/>
  <c r="V242" i="5"/>
  <c r="V69" i="5"/>
  <c r="U69" i="5"/>
  <c r="V67" i="5"/>
  <c r="U67" i="5"/>
  <c r="U194" i="5"/>
  <c r="V194" i="5"/>
  <c r="V338" i="5"/>
  <c r="U338" i="5"/>
  <c r="U515" i="5"/>
  <c r="V515" i="5"/>
  <c r="U247" i="5"/>
  <c r="V247" i="5"/>
  <c r="U253" i="5"/>
  <c r="V253" i="5"/>
  <c r="U205" i="5"/>
  <c r="V205" i="5"/>
  <c r="U50" i="5"/>
  <c r="V50" i="5"/>
  <c r="U529" i="5"/>
  <c r="V529" i="5"/>
  <c r="U478" i="5"/>
  <c r="V478" i="5"/>
  <c r="V214" i="5"/>
  <c r="U214" i="5"/>
  <c r="U246" i="5"/>
  <c r="V246" i="5"/>
  <c r="V239" i="5"/>
  <c r="U239" i="5"/>
  <c r="U92" i="5"/>
  <c r="V92" i="5"/>
  <c r="V560" i="5"/>
  <c r="U560" i="5"/>
  <c r="U454" i="5"/>
  <c r="V454" i="5"/>
  <c r="U372" i="5"/>
  <c r="V372" i="5"/>
  <c r="U231" i="5"/>
  <c r="V231" i="5"/>
  <c r="V227" i="5"/>
  <c r="U227" i="5"/>
  <c r="V61" i="5"/>
  <c r="U61" i="5"/>
  <c r="U493" i="5"/>
  <c r="V493" i="5"/>
  <c r="U537" i="5"/>
  <c r="V537" i="5"/>
  <c r="U436" i="5"/>
  <c r="V436" i="5"/>
  <c r="U226" i="5"/>
  <c r="V226" i="5"/>
  <c r="U212" i="5"/>
  <c r="V212" i="5"/>
  <c r="U53" i="5"/>
  <c r="V53" i="5"/>
  <c r="U414" i="5"/>
  <c r="V414" i="5"/>
  <c r="U366" i="5"/>
  <c r="V366" i="5"/>
  <c r="U254" i="5"/>
  <c r="V254" i="5"/>
  <c r="U134" i="5"/>
  <c r="V134" i="5"/>
  <c r="V555" i="5"/>
  <c r="U555" i="5"/>
  <c r="U519" i="5"/>
  <c r="V519" i="5"/>
  <c r="U411" i="5"/>
  <c r="V411" i="5"/>
  <c r="V315" i="5"/>
  <c r="U315" i="5"/>
  <c r="U279" i="5"/>
  <c r="V279" i="5"/>
  <c r="U118" i="5"/>
  <c r="V118" i="5"/>
  <c r="V531" i="5"/>
  <c r="U531" i="5"/>
  <c r="V494" i="5"/>
  <c r="U494" i="5"/>
  <c r="V362" i="5"/>
  <c r="U362" i="5"/>
  <c r="V274" i="5"/>
  <c r="U274" i="5"/>
  <c r="U187" i="5"/>
  <c r="V187" i="5"/>
  <c r="U98" i="5"/>
  <c r="V98" i="5"/>
  <c r="V47" i="5"/>
  <c r="U47" i="5"/>
  <c r="U84" i="5"/>
  <c r="V84" i="5"/>
  <c r="AO20" i="5"/>
  <c r="AN20" i="5"/>
  <c r="AM27" i="4"/>
  <c r="AN27" i="4" s="1"/>
  <c r="W27" i="4"/>
  <c r="Y27" i="4" s="1"/>
  <c r="Z27" i="4" s="1"/>
  <c r="AF27" i="4" s="1"/>
  <c r="AN216" i="5"/>
  <c r="AO216" i="5"/>
  <c r="AN151" i="5"/>
  <c r="AO151" i="5"/>
  <c r="AO84" i="5"/>
  <c r="AN84" i="5"/>
  <c r="AN101" i="5"/>
  <c r="AO101" i="5"/>
  <c r="AM116" i="4"/>
  <c r="AN116" i="4" s="1"/>
  <c r="U512" i="5"/>
  <c r="V512" i="5"/>
  <c r="U435" i="5"/>
  <c r="V435" i="5"/>
  <c r="U244" i="5"/>
  <c r="V244" i="5"/>
  <c r="U82" i="5"/>
  <c r="V82" i="5"/>
  <c r="U484" i="5"/>
  <c r="V484" i="5"/>
  <c r="U453" i="5"/>
  <c r="V453" i="5"/>
  <c r="V57" i="5"/>
  <c r="U57" i="5"/>
  <c r="V549" i="5"/>
  <c r="U549" i="5"/>
  <c r="V428" i="5"/>
  <c r="U428" i="5"/>
  <c r="V322" i="5"/>
  <c r="U322" i="5"/>
  <c r="U393" i="5"/>
  <c r="V393" i="5"/>
  <c r="V27" i="5"/>
  <c r="U27" i="5"/>
  <c r="AP101" i="5"/>
  <c r="AR101" i="5" s="1"/>
  <c r="AP143" i="5"/>
  <c r="AR143" i="5" s="1"/>
  <c r="W91" i="4"/>
  <c r="X91" i="4" s="1"/>
  <c r="AP81" i="5"/>
  <c r="AQ81" i="5" s="1"/>
  <c r="U256" i="5"/>
  <c r="V256" i="5"/>
  <c r="V320" i="5"/>
  <c r="U320" i="5"/>
  <c r="AO290" i="5"/>
  <c r="AN290" i="5"/>
  <c r="AN245" i="5"/>
  <c r="AO245" i="5"/>
  <c r="AO429" i="5"/>
  <c r="AN429" i="5"/>
  <c r="AO471" i="5"/>
  <c r="AN471" i="5"/>
  <c r="AO407" i="5"/>
  <c r="AN407" i="5"/>
  <c r="AO417" i="5"/>
  <c r="AN417" i="5"/>
  <c r="AN90" i="5"/>
  <c r="AO90" i="5"/>
  <c r="AN452" i="5"/>
  <c r="AO452" i="5"/>
  <c r="AN266" i="5"/>
  <c r="AO266" i="5"/>
  <c r="AN425" i="5"/>
  <c r="AO425" i="5"/>
  <c r="AO329" i="5"/>
  <c r="AN329" i="5"/>
  <c r="AO44" i="5"/>
  <c r="AN44" i="5"/>
  <c r="AO319" i="5"/>
  <c r="AN319" i="5"/>
  <c r="AO94" i="5"/>
  <c r="AN94" i="5"/>
  <c r="AO405" i="5"/>
  <c r="AN405" i="5"/>
  <c r="AN188" i="5"/>
  <c r="AO188" i="5"/>
  <c r="AO76" i="5"/>
  <c r="AN76" i="5"/>
  <c r="AN375" i="5"/>
  <c r="AO375" i="5"/>
  <c r="AN165" i="5"/>
  <c r="AO165" i="5"/>
  <c r="AO295" i="5"/>
  <c r="AN295" i="5"/>
  <c r="AN100" i="5"/>
  <c r="AO100" i="5"/>
  <c r="V368" i="5"/>
  <c r="U368" i="5"/>
  <c r="W86" i="4"/>
  <c r="AM86" i="4"/>
  <c r="AN86" i="4" s="1"/>
  <c r="AN236" i="5"/>
  <c r="AO236" i="5"/>
  <c r="AO208" i="5"/>
  <c r="AN208" i="5"/>
  <c r="U400" i="5"/>
  <c r="V400" i="5"/>
  <c r="V112" i="5"/>
  <c r="U112" i="5"/>
  <c r="AO144" i="5"/>
  <c r="AN144" i="5"/>
  <c r="U526" i="5"/>
  <c r="V526" i="5"/>
  <c r="AM137" i="4"/>
  <c r="AN137" i="4" s="1"/>
  <c r="W137" i="4"/>
  <c r="AO480" i="5"/>
  <c r="AN480" i="5"/>
  <c r="AO300" i="5"/>
  <c r="AN300" i="5"/>
  <c r="V328" i="5"/>
  <c r="U328" i="5"/>
  <c r="AO35" i="5"/>
  <c r="AN35" i="5"/>
  <c r="U518" i="5"/>
  <c r="V518" i="5"/>
  <c r="U349" i="5"/>
  <c r="V349" i="5"/>
  <c r="U307" i="5"/>
  <c r="V307" i="5"/>
  <c r="V285" i="5"/>
  <c r="U285" i="5"/>
  <c r="U141" i="5"/>
  <c r="V141" i="5"/>
  <c r="U19" i="5"/>
  <c r="V19" i="5"/>
  <c r="U552" i="5"/>
  <c r="V552" i="5"/>
  <c r="V44" i="5"/>
  <c r="U44" i="5"/>
  <c r="U510" i="5"/>
  <c r="V510" i="5"/>
  <c r="V481" i="5"/>
  <c r="U481" i="5"/>
  <c r="U420" i="5"/>
  <c r="V420" i="5"/>
  <c r="U323" i="5"/>
  <c r="V323" i="5"/>
  <c r="U190" i="5"/>
  <c r="V190" i="5"/>
  <c r="U28" i="5"/>
  <c r="V28" i="5"/>
  <c r="V506" i="5"/>
  <c r="U506" i="5"/>
  <c r="U443" i="5"/>
  <c r="V443" i="5"/>
  <c r="V415" i="5"/>
  <c r="U415" i="5"/>
  <c r="V316" i="5"/>
  <c r="U316" i="5"/>
  <c r="U203" i="5"/>
  <c r="V203" i="5"/>
  <c r="U30" i="5"/>
  <c r="V30" i="5"/>
  <c r="U495" i="5"/>
  <c r="V495" i="5"/>
  <c r="V339" i="5"/>
  <c r="U339" i="5"/>
  <c r="U437" i="5"/>
  <c r="V437" i="5"/>
  <c r="V313" i="5"/>
  <c r="U313" i="5"/>
  <c r="U196" i="5"/>
  <c r="V196" i="5"/>
  <c r="U502" i="5"/>
  <c r="V502" i="5"/>
  <c r="U470" i="5"/>
  <c r="V470" i="5"/>
  <c r="V507" i="5"/>
  <c r="U507" i="5"/>
  <c r="U405" i="5"/>
  <c r="V405" i="5"/>
  <c r="V311" i="5"/>
  <c r="U311" i="5"/>
  <c r="V188" i="5"/>
  <c r="U188" i="5"/>
  <c r="Q10" i="5"/>
  <c r="AG10" i="5"/>
  <c r="T10" i="5"/>
  <c r="AM10" i="5"/>
  <c r="W10" i="5"/>
  <c r="V383" i="5"/>
  <c r="U383" i="5"/>
  <c r="V329" i="5"/>
  <c r="U329" i="5"/>
  <c r="U233" i="5"/>
  <c r="V233" i="5"/>
  <c r="U114" i="5"/>
  <c r="V114" i="5"/>
  <c r="U514" i="5"/>
  <c r="V514" i="5"/>
  <c r="U498" i="5"/>
  <c r="V498" i="5"/>
  <c r="U382" i="5"/>
  <c r="V382" i="5"/>
  <c r="U356" i="5"/>
  <c r="V356" i="5"/>
  <c r="U252" i="5"/>
  <c r="V252" i="5"/>
  <c r="U125" i="5"/>
  <c r="V125" i="5"/>
  <c r="V487" i="5"/>
  <c r="U487" i="5"/>
  <c r="V451" i="5"/>
  <c r="U451" i="5"/>
  <c r="U354" i="5"/>
  <c r="V354" i="5"/>
  <c r="U249" i="5"/>
  <c r="V249" i="5"/>
  <c r="V151" i="5"/>
  <c r="U151" i="5"/>
  <c r="U74" i="5"/>
  <c r="V74" i="5"/>
  <c r="V26" i="5"/>
  <c r="U26" i="5"/>
  <c r="U87" i="5"/>
  <c r="V87" i="5"/>
  <c r="AN292" i="5"/>
  <c r="AO292" i="5"/>
  <c r="V546" i="5"/>
  <c r="U546" i="5"/>
  <c r="AO456" i="5"/>
  <c r="AN456" i="5"/>
  <c r="AO255" i="5"/>
  <c r="AN255" i="5"/>
  <c r="AO229" i="5"/>
  <c r="AN229" i="5"/>
  <c r="U472" i="5"/>
  <c r="V472" i="5"/>
  <c r="U464" i="5"/>
  <c r="V464" i="5"/>
  <c r="U550" i="5"/>
  <c r="V550" i="5"/>
  <c r="U375" i="5"/>
  <c r="V375" i="5"/>
  <c r="U37" i="5"/>
  <c r="V37" i="5"/>
  <c r="U403" i="5"/>
  <c r="V403" i="5"/>
  <c r="U377" i="5"/>
  <c r="V377" i="5"/>
  <c r="V161" i="5"/>
  <c r="U161" i="5"/>
  <c r="U91" i="5"/>
  <c r="V91" i="5"/>
  <c r="U280" i="5"/>
  <c r="V280" i="5"/>
  <c r="AP229" i="5"/>
  <c r="AR229" i="5" s="1"/>
  <c r="AP131" i="5"/>
  <c r="AQ131" i="5" s="1"/>
  <c r="AP94" i="5"/>
  <c r="AQ94" i="5" s="1"/>
  <c r="AP274" i="5"/>
  <c r="AQ274" i="5" s="1"/>
  <c r="AP79" i="5"/>
  <c r="AR79" i="5" s="1"/>
  <c r="AP127" i="5"/>
  <c r="AR127" i="5" s="1"/>
  <c r="AM68" i="4"/>
  <c r="AN68" i="4" s="1"/>
  <c r="W68" i="4"/>
  <c r="AO95" i="5"/>
  <c r="AN95" i="5"/>
  <c r="AN202" i="5"/>
  <c r="AO202" i="5"/>
  <c r="AO350" i="5"/>
  <c r="AN350" i="5"/>
  <c r="AN351" i="5"/>
  <c r="AO351" i="5"/>
  <c r="AO517" i="5"/>
  <c r="AN517" i="5"/>
  <c r="AN345" i="5"/>
  <c r="AO345" i="5"/>
  <c r="AO483" i="5"/>
  <c r="AN483" i="5"/>
  <c r="AN364" i="5"/>
  <c r="AO364" i="5"/>
  <c r="AN244" i="5"/>
  <c r="AO244" i="5"/>
  <c r="AN502" i="5"/>
  <c r="AO502" i="5"/>
  <c r="AO247" i="5"/>
  <c r="AN247" i="5"/>
  <c r="AN559" i="5"/>
  <c r="AO559" i="5"/>
  <c r="AN315" i="5"/>
  <c r="AO315" i="5"/>
  <c r="AN77" i="5"/>
  <c r="AO77" i="5"/>
  <c r="AN468" i="5"/>
  <c r="AO468" i="5"/>
  <c r="AN323" i="5"/>
  <c r="AO323" i="5"/>
  <c r="AN52" i="5"/>
  <c r="AO52" i="5"/>
  <c r="AO414" i="5"/>
  <c r="AN414" i="5"/>
  <c r="AN170" i="5"/>
  <c r="AO170" i="5"/>
  <c r="AN317" i="5"/>
  <c r="AO317" i="5"/>
  <c r="AO74" i="5"/>
  <c r="AN74" i="5"/>
  <c r="U352" i="5"/>
  <c r="V352" i="5"/>
  <c r="AN440" i="5"/>
  <c r="AO440" i="5"/>
  <c r="AN203" i="5"/>
  <c r="AO203" i="5"/>
  <c r="U272" i="5"/>
  <c r="V272" i="5"/>
  <c r="U424" i="5"/>
  <c r="V424" i="5"/>
  <c r="AM77" i="4"/>
  <c r="W77" i="4"/>
  <c r="X77" i="4" s="1"/>
  <c r="W150" i="4"/>
  <c r="X150" i="4" s="1"/>
  <c r="V304" i="5"/>
  <c r="U304" i="5"/>
  <c r="V208" i="5"/>
  <c r="U208" i="5"/>
  <c r="AN464" i="5"/>
  <c r="AO464" i="5"/>
  <c r="AM23" i="4"/>
  <c r="AN23" i="4" s="1"/>
  <c r="W23" i="4"/>
  <c r="AO107" i="5"/>
  <c r="AN107" i="5"/>
  <c r="V160" i="5"/>
  <c r="U160" i="5"/>
  <c r="AO99" i="5"/>
  <c r="AN99" i="5"/>
  <c r="AM8" i="4"/>
  <c r="AN8" i="4" s="1"/>
  <c r="W8" i="4"/>
  <c r="U536" i="5"/>
  <c r="V536" i="5"/>
  <c r="V273" i="5"/>
  <c r="U273" i="5"/>
  <c r="U146" i="5"/>
  <c r="V146" i="5"/>
  <c r="U221" i="5"/>
  <c r="V221" i="5"/>
  <c r="U419" i="5"/>
  <c r="V419" i="5"/>
  <c r="V553" i="5"/>
  <c r="U553" i="5"/>
  <c r="V539" i="5"/>
  <c r="U539" i="5"/>
  <c r="V523" i="5"/>
  <c r="U523" i="5"/>
  <c r="V482" i="5"/>
  <c r="U482" i="5"/>
  <c r="U447" i="5"/>
  <c r="V447" i="5"/>
  <c r="U387" i="5"/>
  <c r="V387" i="5"/>
  <c r="V237" i="5"/>
  <c r="U237" i="5"/>
  <c r="U79" i="5"/>
  <c r="V79" i="5"/>
  <c r="V520" i="5"/>
  <c r="U520" i="5"/>
  <c r="U477" i="5"/>
  <c r="V477" i="5"/>
  <c r="U324" i="5"/>
  <c r="V324" i="5"/>
  <c r="V381" i="5"/>
  <c r="U381" i="5"/>
  <c r="V284" i="5"/>
  <c r="U284" i="5"/>
  <c r="V186" i="5"/>
  <c r="U186" i="5"/>
  <c r="U509" i="5"/>
  <c r="V509" i="5"/>
  <c r="U473" i="5"/>
  <c r="V473" i="5"/>
  <c r="U508" i="5"/>
  <c r="V508" i="5"/>
  <c r="V410" i="5"/>
  <c r="U410" i="5"/>
  <c r="U276" i="5"/>
  <c r="V276" i="5"/>
  <c r="V185" i="5"/>
  <c r="U185" i="5"/>
  <c r="U559" i="5"/>
  <c r="V559" i="5"/>
  <c r="U439" i="5"/>
  <c r="V439" i="5"/>
  <c r="U466" i="5"/>
  <c r="V466" i="5"/>
  <c r="V367" i="5"/>
  <c r="U367" i="5"/>
  <c r="U266" i="5"/>
  <c r="V266" i="5"/>
  <c r="V183" i="5"/>
  <c r="U183" i="5"/>
  <c r="U471" i="5"/>
  <c r="V471" i="5"/>
  <c r="V353" i="5"/>
  <c r="U353" i="5"/>
  <c r="V262" i="5"/>
  <c r="U262" i="5"/>
  <c r="U180" i="5"/>
  <c r="V180" i="5"/>
  <c r="U109" i="5"/>
  <c r="V109" i="5"/>
  <c r="V544" i="5"/>
  <c r="U544" i="5"/>
  <c r="V468" i="5"/>
  <c r="U468" i="5"/>
  <c r="V348" i="5"/>
  <c r="U348" i="5"/>
  <c r="U293" i="5"/>
  <c r="V293" i="5"/>
  <c r="V230" i="5"/>
  <c r="U230" i="5"/>
  <c r="V156" i="5"/>
  <c r="U156" i="5"/>
  <c r="U461" i="5"/>
  <c r="V461" i="5"/>
  <c r="V379" i="5"/>
  <c r="U379" i="5"/>
  <c r="V310" i="5"/>
  <c r="U310" i="5"/>
  <c r="U225" i="5"/>
  <c r="V225" i="5"/>
  <c r="U155" i="5"/>
  <c r="V155" i="5"/>
  <c r="V59" i="5"/>
  <c r="U59" i="5"/>
  <c r="U121" i="5"/>
  <c r="V121" i="5"/>
  <c r="V105" i="5"/>
  <c r="U105" i="5"/>
  <c r="AO91" i="5"/>
  <c r="AN91" i="5"/>
  <c r="V554" i="5"/>
  <c r="U554" i="5"/>
  <c r="AN34" i="5"/>
  <c r="AO34" i="5"/>
  <c r="AO46" i="5"/>
  <c r="AN46" i="5"/>
  <c r="AN411" i="5"/>
  <c r="AO411" i="5"/>
  <c r="AO535" i="5"/>
  <c r="AN535" i="5"/>
  <c r="AM63" i="4"/>
  <c r="AN63" i="4" s="1"/>
  <c r="W63" i="4"/>
  <c r="U150" i="5"/>
  <c r="V150" i="5"/>
  <c r="U245" i="5"/>
  <c r="V245" i="5"/>
  <c r="V93" i="5"/>
  <c r="U93" i="5"/>
  <c r="U222" i="5"/>
  <c r="V222" i="5"/>
  <c r="U191" i="5"/>
  <c r="V191" i="5"/>
  <c r="V282" i="5"/>
  <c r="U282" i="5"/>
  <c r="V364" i="5"/>
  <c r="U364" i="5"/>
  <c r="U525" i="5"/>
  <c r="V525" i="5"/>
  <c r="V318" i="5"/>
  <c r="U318" i="5"/>
  <c r="U43" i="5"/>
  <c r="V43" i="5"/>
  <c r="AP232" i="5"/>
  <c r="AQ232" i="5" s="1"/>
  <c r="AP381" i="5"/>
  <c r="AQ381" i="5" s="1"/>
  <c r="AP255" i="5"/>
  <c r="AQ255" i="5" s="1"/>
  <c r="AP531" i="5"/>
  <c r="AQ531" i="5" s="1"/>
  <c r="AP210" i="5"/>
  <c r="AQ210" i="5" s="1"/>
  <c r="AP360" i="5"/>
  <c r="AR360" i="5" s="1"/>
  <c r="AP216" i="5"/>
  <c r="AR216" i="5" s="1"/>
  <c r="AP30" i="5"/>
  <c r="AR30" i="5" s="1"/>
  <c r="AP140" i="5"/>
  <c r="AR140" i="5" s="1"/>
  <c r="AO501" i="5"/>
  <c r="AN501" i="5"/>
  <c r="AN548" i="5"/>
  <c r="AO548" i="5"/>
  <c r="AO187" i="5"/>
  <c r="AN187" i="5"/>
  <c r="AN119" i="5"/>
  <c r="AO119" i="5"/>
  <c r="AN509" i="5"/>
  <c r="AO509" i="5"/>
  <c r="AN339" i="5"/>
  <c r="AO339" i="5"/>
  <c r="AO544" i="5"/>
  <c r="AN544" i="5"/>
  <c r="AO402" i="5"/>
  <c r="AN402" i="5"/>
  <c r="AO230" i="5"/>
  <c r="AN230" i="5"/>
  <c r="AN443" i="5"/>
  <c r="AO443" i="5"/>
  <c r="AN246" i="5"/>
  <c r="AO246" i="5"/>
  <c r="AN297" i="5"/>
  <c r="AO297" i="5"/>
  <c r="AO241" i="5"/>
  <c r="AN241" i="5"/>
  <c r="AN63" i="5"/>
  <c r="AO63" i="5"/>
  <c r="AN515" i="5"/>
  <c r="AO515" i="5"/>
  <c r="AN191" i="5"/>
  <c r="AO191" i="5"/>
  <c r="AN37" i="5"/>
  <c r="AO37" i="5"/>
  <c r="AO218" i="5"/>
  <c r="AN218" i="5"/>
  <c r="AN117" i="5"/>
  <c r="AO117" i="5"/>
  <c r="AO291" i="5"/>
  <c r="AN291" i="5"/>
  <c r="AO75" i="5"/>
  <c r="AN75" i="5"/>
  <c r="AM157" i="4"/>
  <c r="AN157" i="4" s="1"/>
  <c r="W157" i="4"/>
  <c r="X157" i="4" s="1"/>
  <c r="U192" i="5"/>
  <c r="V192" i="5"/>
  <c r="U232" i="5"/>
  <c r="V232" i="5"/>
  <c r="AN336" i="5"/>
  <c r="AO336" i="5"/>
  <c r="AN227" i="5"/>
  <c r="AO227" i="5"/>
  <c r="AN121" i="5"/>
  <c r="AO121" i="5"/>
  <c r="AN184" i="5"/>
  <c r="AO184" i="5"/>
  <c r="AN123" i="5"/>
  <c r="AO123" i="5"/>
  <c r="AM95" i="4"/>
  <c r="AN95" i="4" s="1"/>
  <c r="W95" i="4"/>
  <c r="U485" i="5"/>
  <c r="V485" i="5"/>
  <c r="V457" i="5"/>
  <c r="U457" i="5"/>
  <c r="V181" i="5"/>
  <c r="U181" i="5"/>
  <c r="V547" i="5"/>
  <c r="U547" i="5"/>
  <c r="U142" i="5"/>
  <c r="V142" i="5"/>
  <c r="U492" i="5"/>
  <c r="V492" i="5"/>
  <c r="V542" i="5"/>
  <c r="U542" i="5"/>
  <c r="U467" i="5"/>
  <c r="V467" i="5"/>
  <c r="V445" i="5"/>
  <c r="U445" i="5"/>
  <c r="U455" i="5"/>
  <c r="V455" i="5"/>
  <c r="U357" i="5"/>
  <c r="V357" i="5"/>
  <c r="V350" i="5"/>
  <c r="U350" i="5"/>
  <c r="V306" i="5"/>
  <c r="U306" i="5"/>
  <c r="U177" i="5"/>
  <c r="V177" i="5"/>
  <c r="U423" i="5"/>
  <c r="V423" i="5"/>
  <c r="V452" i="5"/>
  <c r="U452" i="5"/>
  <c r="U399" i="5"/>
  <c r="V399" i="5"/>
  <c r="U345" i="5"/>
  <c r="V345" i="5"/>
  <c r="U135" i="5"/>
  <c r="V135" i="5"/>
  <c r="V170" i="5"/>
  <c r="U170" i="5"/>
  <c r="U397" i="5"/>
  <c r="V397" i="5"/>
  <c r="U446" i="5"/>
  <c r="V446" i="5"/>
  <c r="V441" i="5"/>
  <c r="U441" i="5"/>
  <c r="V378" i="5"/>
  <c r="U378" i="5"/>
  <c r="U334" i="5"/>
  <c r="V334" i="5"/>
  <c r="V169" i="5"/>
  <c r="U169" i="5"/>
  <c r="U524" i="5"/>
  <c r="V524" i="5"/>
  <c r="U398" i="5"/>
  <c r="V398" i="5"/>
  <c r="U417" i="5"/>
  <c r="V417" i="5"/>
  <c r="V337" i="5"/>
  <c r="U337" i="5"/>
  <c r="V332" i="5"/>
  <c r="U332" i="5"/>
  <c r="U140" i="5"/>
  <c r="V140" i="5"/>
  <c r="U442" i="5"/>
  <c r="V442" i="5"/>
  <c r="U228" i="5"/>
  <c r="V228" i="5"/>
  <c r="V321" i="5"/>
  <c r="U321" i="5"/>
  <c r="V199" i="5"/>
  <c r="U199" i="5"/>
  <c r="V85" i="5"/>
  <c r="U85" i="5"/>
  <c r="U540" i="5"/>
  <c r="V540" i="5"/>
  <c r="U438" i="5"/>
  <c r="V438" i="5"/>
  <c r="U195" i="5"/>
  <c r="V195" i="5"/>
  <c r="U261" i="5"/>
  <c r="V261" i="5"/>
  <c r="V174" i="5"/>
  <c r="U174" i="5"/>
  <c r="V106" i="5"/>
  <c r="U106" i="5"/>
  <c r="U425" i="5"/>
  <c r="V425" i="5"/>
  <c r="V340" i="5"/>
  <c r="U340" i="5"/>
  <c r="V290" i="5"/>
  <c r="U290" i="5"/>
  <c r="U243" i="5"/>
  <c r="V243" i="5"/>
  <c r="U95" i="5"/>
  <c r="V95" i="5"/>
  <c r="U52" i="5"/>
  <c r="V52" i="5"/>
  <c r="U83" i="5"/>
  <c r="V83" i="5"/>
  <c r="V89" i="5"/>
  <c r="U89" i="5"/>
  <c r="AO307" i="5"/>
  <c r="AN307" i="5"/>
  <c r="AO104" i="5"/>
  <c r="AN104" i="5"/>
  <c r="AM108" i="4"/>
  <c r="AN108" i="4" s="1"/>
  <c r="W108" i="4"/>
  <c r="Y108" i="4" s="1"/>
  <c r="Z108" i="4" s="1"/>
  <c r="AO469" i="5"/>
  <c r="AN469" i="5"/>
  <c r="AN460" i="5"/>
  <c r="AO460" i="5"/>
  <c r="AO531" i="5"/>
  <c r="AN531" i="5"/>
  <c r="AO237" i="5"/>
  <c r="AN237" i="5"/>
  <c r="V538" i="5"/>
  <c r="U538" i="5"/>
  <c r="U516" i="5"/>
  <c r="V516" i="5"/>
  <c r="U351" i="5"/>
  <c r="V351" i="5"/>
  <c r="V513" i="5"/>
  <c r="U513" i="5"/>
  <c r="U475" i="5"/>
  <c r="V475" i="5"/>
  <c r="V371" i="5"/>
  <c r="U371" i="5"/>
  <c r="AP447" i="5"/>
  <c r="AQ447" i="5" s="1"/>
  <c r="AP181" i="5"/>
  <c r="AR181" i="5" s="1"/>
  <c r="AP517" i="5"/>
  <c r="AQ517" i="5" s="1"/>
  <c r="AP426" i="5"/>
  <c r="AQ426" i="5" s="1"/>
  <c r="AP312" i="5"/>
  <c r="AQ312" i="5" s="1"/>
  <c r="AP239" i="5"/>
  <c r="AR239" i="5" s="1"/>
  <c r="AP474" i="5"/>
  <c r="AQ474" i="5" s="1"/>
  <c r="AP296" i="5"/>
  <c r="AQ296" i="5" s="1"/>
  <c r="V152" i="5"/>
  <c r="U152" i="5"/>
  <c r="AO400" i="5"/>
  <c r="AN400" i="5"/>
  <c r="U488" i="5"/>
  <c r="V488" i="5"/>
  <c r="AO353" i="5"/>
  <c r="AN353" i="5"/>
  <c r="AN439" i="5"/>
  <c r="AO439" i="5"/>
  <c r="AO523" i="5"/>
  <c r="AN523" i="5"/>
  <c r="AN479" i="5"/>
  <c r="AO479" i="5"/>
  <c r="AN466" i="5"/>
  <c r="AO466" i="5"/>
  <c r="AN268" i="5"/>
  <c r="AO268" i="5"/>
  <c r="AO513" i="5"/>
  <c r="AN513" i="5"/>
  <c r="AO277" i="5"/>
  <c r="AN277" i="5"/>
  <c r="AN158" i="5"/>
  <c r="AO158" i="5"/>
  <c r="AO382" i="5"/>
  <c r="AN382" i="5"/>
  <c r="AO242" i="5"/>
  <c r="AN242" i="5"/>
  <c r="AO494" i="5"/>
  <c r="AN494" i="5"/>
  <c r="AO327" i="5"/>
  <c r="AN327" i="5"/>
  <c r="AO30" i="5"/>
  <c r="AN30" i="5"/>
  <c r="AN333" i="5"/>
  <c r="AO333" i="5"/>
  <c r="AN217" i="5"/>
  <c r="AO217" i="5"/>
  <c r="AN541" i="5"/>
  <c r="AO541" i="5"/>
  <c r="AN309" i="5"/>
  <c r="AO309" i="5"/>
  <c r="AO102" i="5"/>
  <c r="AN102" i="5"/>
  <c r="AN215" i="5"/>
  <c r="AO215" i="5"/>
  <c r="AO67" i="5"/>
  <c r="AN67" i="5"/>
  <c r="AM103" i="4"/>
  <c r="AN103" i="4" s="1"/>
  <c r="W103" i="4"/>
  <c r="V416" i="5"/>
  <c r="U416" i="5"/>
  <c r="AN153" i="5"/>
  <c r="AO153" i="5"/>
  <c r="V32" i="5"/>
  <c r="U32" i="5"/>
  <c r="W45" i="4"/>
  <c r="AM45" i="4"/>
  <c r="AN45" i="4" s="1"/>
  <c r="U360" i="5"/>
  <c r="V360" i="5"/>
  <c r="AO387" i="5"/>
  <c r="AN387" i="5"/>
  <c r="AM38" i="4"/>
  <c r="AN38" i="4" s="1"/>
  <c r="W38" i="4"/>
  <c r="U392" i="5"/>
  <c r="V392" i="5"/>
  <c r="V373" i="5"/>
  <c r="U373" i="5"/>
  <c r="U469" i="5"/>
  <c r="V469" i="5"/>
  <c r="V558" i="5"/>
  <c r="U558" i="5"/>
  <c r="U394" i="5"/>
  <c r="V394" i="5"/>
  <c r="V535" i="5"/>
  <c r="U535" i="5"/>
  <c r="U521" i="5"/>
  <c r="V521" i="5"/>
  <c r="U486" i="5"/>
  <c r="V486" i="5"/>
  <c r="U500" i="5"/>
  <c r="V500" i="5"/>
  <c r="U530" i="5"/>
  <c r="V530" i="5"/>
  <c r="V511" i="5"/>
  <c r="U511" i="5"/>
  <c r="V402" i="5"/>
  <c r="U402" i="5"/>
  <c r="U286" i="5"/>
  <c r="V286" i="5"/>
  <c r="U270" i="5"/>
  <c r="V270" i="5"/>
  <c r="U138" i="5"/>
  <c r="V138" i="5"/>
  <c r="V528" i="5"/>
  <c r="U528" i="5"/>
  <c r="U413" i="5"/>
  <c r="V413" i="5"/>
  <c r="U363" i="5"/>
  <c r="V363" i="5"/>
  <c r="V283" i="5"/>
  <c r="U283" i="5"/>
  <c r="V301" i="5"/>
  <c r="U301" i="5"/>
  <c r="V173" i="5"/>
  <c r="U173" i="5"/>
  <c r="U449" i="5"/>
  <c r="V449" i="5"/>
  <c r="U401" i="5"/>
  <c r="V401" i="5"/>
  <c r="V287" i="5"/>
  <c r="U287" i="5"/>
  <c r="V342" i="5"/>
  <c r="U342" i="5"/>
  <c r="U295" i="5"/>
  <c r="V295" i="5"/>
  <c r="V171" i="5"/>
  <c r="U171" i="5"/>
  <c r="V406" i="5"/>
  <c r="U406" i="5"/>
  <c r="U522" i="5"/>
  <c r="V522" i="5"/>
  <c r="U388" i="5"/>
  <c r="V388" i="5"/>
  <c r="U267" i="5"/>
  <c r="V267" i="5"/>
  <c r="V289" i="5"/>
  <c r="U289" i="5"/>
  <c r="V149" i="5"/>
  <c r="U149" i="5"/>
  <c r="U533" i="5"/>
  <c r="V533" i="5"/>
  <c r="V389" i="5"/>
  <c r="U389" i="5"/>
  <c r="U302" i="5"/>
  <c r="V302" i="5"/>
  <c r="U223" i="5"/>
  <c r="V223" i="5"/>
  <c r="U76" i="5"/>
  <c r="V76" i="5"/>
  <c r="V489" i="5"/>
  <c r="U489" i="5"/>
  <c r="U532" i="5"/>
  <c r="V532" i="5"/>
  <c r="V386" i="5"/>
  <c r="U386" i="5"/>
  <c r="V331" i="5"/>
  <c r="U331" i="5"/>
  <c r="U166" i="5"/>
  <c r="V166" i="5"/>
  <c r="U107" i="5"/>
  <c r="V107" i="5"/>
  <c r="V374" i="5"/>
  <c r="U374" i="5"/>
  <c r="U162" i="5"/>
  <c r="V162" i="5"/>
  <c r="U259" i="5"/>
  <c r="V259" i="5"/>
  <c r="V159" i="5"/>
  <c r="U159" i="5"/>
  <c r="V35" i="5"/>
  <c r="U35" i="5"/>
  <c r="U117" i="5"/>
  <c r="V117" i="5"/>
  <c r="U25" i="5"/>
  <c r="V25" i="5"/>
  <c r="U55" i="5"/>
  <c r="V55" i="5"/>
  <c r="AN379" i="5"/>
  <c r="AO379" i="5"/>
  <c r="V408" i="5"/>
  <c r="U408" i="5"/>
  <c r="AM54" i="4"/>
  <c r="AN54" i="4" s="1"/>
  <c r="W54" i="4"/>
  <c r="X54" i="4" s="1"/>
  <c r="AJ54" i="4" s="1"/>
  <c r="AO193" i="5"/>
  <c r="AN193" i="5"/>
  <c r="B102" i="2"/>
  <c r="B103" i="2" s="1"/>
  <c r="B73" i="2"/>
  <c r="B157" i="2"/>
  <c r="B92" i="2"/>
  <c r="B142" i="2"/>
  <c r="AE98" i="4"/>
  <c r="AH139" i="4"/>
  <c r="AH83" i="4"/>
  <c r="AH110" i="4"/>
  <c r="AH130" i="4"/>
  <c r="AH131" i="4"/>
  <c r="AH118" i="4"/>
  <c r="AH44" i="4"/>
  <c r="AH45" i="4"/>
  <c r="AH108" i="4"/>
  <c r="AH25" i="4"/>
  <c r="AH81" i="4"/>
  <c r="AH113" i="4"/>
  <c r="AH26" i="4"/>
  <c r="AH80" i="4"/>
  <c r="AH41" i="4"/>
  <c r="AH13" i="4"/>
  <c r="AH70" i="4"/>
  <c r="AH62" i="4"/>
  <c r="AH100" i="4"/>
  <c r="AH82" i="4"/>
  <c r="AH9" i="4"/>
  <c r="AH124" i="4"/>
  <c r="AH58" i="4"/>
  <c r="AH146" i="4"/>
  <c r="AH156" i="4"/>
  <c r="AH33" i="4"/>
  <c r="AH154" i="4"/>
  <c r="AH84" i="4"/>
  <c r="AH27" i="4"/>
  <c r="AH68" i="4"/>
  <c r="AH123" i="4"/>
  <c r="AH150" i="4"/>
  <c r="AH72" i="4"/>
  <c r="AH147" i="4"/>
  <c r="AH136" i="4"/>
  <c r="AH55" i="4"/>
  <c r="AH151" i="4"/>
  <c r="AH30" i="4"/>
  <c r="AH95" i="4"/>
  <c r="AH64" i="4"/>
  <c r="AH137" i="4"/>
  <c r="AH54" i="4"/>
  <c r="AH135" i="4"/>
  <c r="AH76" i="4"/>
  <c r="AH85" i="4"/>
  <c r="AH152" i="4"/>
  <c r="AH104" i="4"/>
  <c r="AH114" i="4"/>
  <c r="AH98" i="4"/>
  <c r="AH112" i="4"/>
  <c r="AH56" i="4"/>
  <c r="AH88" i="4"/>
  <c r="AH86" i="4"/>
  <c r="AH47" i="4"/>
  <c r="AH143" i="4"/>
  <c r="AH126" i="4"/>
  <c r="AH93" i="4"/>
  <c r="AH92" i="4"/>
  <c r="AH51" i="4"/>
  <c r="AH89" i="4"/>
  <c r="AH119" i="4"/>
  <c r="AH50" i="4"/>
  <c r="AH60" i="4"/>
  <c r="AH120" i="4"/>
  <c r="AH40" i="4"/>
  <c r="AH69" i="4"/>
  <c r="AR527" i="5"/>
  <c r="AQ350" i="5"/>
  <c r="AQ539" i="5"/>
  <c r="AR539" i="5"/>
  <c r="AQ69" i="5"/>
  <c r="AR69" i="5"/>
  <c r="AQ465" i="5"/>
  <c r="AR465" i="5"/>
  <c r="AR244" i="5"/>
  <c r="AQ105" i="5"/>
  <c r="AR105" i="5"/>
  <c r="AR222" i="5"/>
  <c r="AR133" i="5"/>
  <c r="AQ133" i="5"/>
  <c r="AR26" i="5"/>
  <c r="AQ26" i="5"/>
  <c r="AR477" i="5"/>
  <c r="AQ556" i="5"/>
  <c r="AR556" i="5"/>
  <c r="AR356" i="5"/>
  <c r="AQ356" i="5"/>
  <c r="AQ386" i="5"/>
  <c r="AR386" i="5"/>
  <c r="AR227" i="5"/>
  <c r="AQ227" i="5"/>
  <c r="AR307" i="5"/>
  <c r="AQ307" i="5"/>
  <c r="AR355" i="5"/>
  <c r="AQ355" i="5"/>
  <c r="AQ324" i="5"/>
  <c r="AR324" i="5"/>
  <c r="AQ372" i="5"/>
  <c r="AQ390" i="5"/>
  <c r="AR390" i="5"/>
  <c r="AQ520" i="5"/>
  <c r="AR520" i="5"/>
  <c r="AQ290" i="5"/>
  <c r="AR290" i="5"/>
  <c r="AQ169" i="5"/>
  <c r="AR169" i="5"/>
  <c r="AQ314" i="5"/>
  <c r="AR314" i="5"/>
  <c r="AR301" i="5"/>
  <c r="AQ301" i="5"/>
  <c r="AQ506" i="5"/>
  <c r="AR506" i="5"/>
  <c r="AR173" i="5"/>
  <c r="AQ173" i="5"/>
  <c r="AQ119" i="5"/>
  <c r="AR214" i="5"/>
  <c r="AQ214" i="5"/>
  <c r="AR432" i="5"/>
  <c r="AR43" i="5"/>
  <c r="AQ43" i="5"/>
  <c r="AQ379" i="5"/>
  <c r="AR379" i="5"/>
  <c r="AQ267" i="5"/>
  <c r="AR267" i="5"/>
  <c r="AQ557" i="5"/>
  <c r="AR147" i="5"/>
  <c r="AQ147" i="5"/>
  <c r="AQ146" i="5"/>
  <c r="AR146" i="5"/>
  <c r="AQ451" i="5"/>
  <c r="AR451" i="5"/>
  <c r="AQ157" i="5"/>
  <c r="AR157" i="5"/>
  <c r="AR134" i="5"/>
  <c r="AQ304" i="5"/>
  <c r="AR304" i="5"/>
  <c r="AR81" i="5"/>
  <c r="AR346" i="5"/>
  <c r="AR25" i="5"/>
  <c r="AQ25" i="5"/>
  <c r="AR410" i="5"/>
  <c r="AR135" i="5"/>
  <c r="AQ135" i="5"/>
  <c r="AQ461" i="5"/>
  <c r="AR461" i="5"/>
  <c r="AQ450" i="5"/>
  <c r="AR450" i="5"/>
  <c r="AQ199" i="5"/>
  <c r="AR199" i="5"/>
  <c r="AQ359" i="5"/>
  <c r="AR359" i="5"/>
  <c r="AQ394" i="5"/>
  <c r="AR394" i="5"/>
  <c r="AQ270" i="5"/>
  <c r="AR270" i="5"/>
  <c r="AQ148" i="5"/>
  <c r="AR148" i="5"/>
  <c r="AQ202" i="5"/>
  <c r="AR202" i="5"/>
  <c r="AR540" i="5"/>
  <c r="AQ540" i="5"/>
  <c r="AQ536" i="5"/>
  <c r="AQ560" i="5"/>
  <c r="AR560" i="5"/>
  <c r="AQ510" i="5"/>
  <c r="AR510" i="5"/>
  <c r="AR182" i="5"/>
  <c r="AQ182" i="5"/>
  <c r="AQ398" i="5"/>
  <c r="AR398" i="5"/>
  <c r="AK55" i="5"/>
  <c r="AL55" i="5"/>
  <c r="AM51" i="4"/>
  <c r="AN51" i="4" s="1"/>
  <c r="W51" i="4"/>
  <c r="Y51" i="4" s="1"/>
  <c r="Z51" i="4" s="1"/>
  <c r="AL99" i="5"/>
  <c r="AK99" i="5"/>
  <c r="V7" i="5"/>
  <c r="U7" i="5"/>
  <c r="AM28" i="4"/>
  <c r="AN28" i="4" s="1"/>
  <c r="W28" i="4"/>
  <c r="Y28" i="4" s="1"/>
  <c r="Z28" i="4" s="1"/>
  <c r="AK240" i="5"/>
  <c r="AL240" i="5"/>
  <c r="AQ313" i="5"/>
  <c r="AR313" i="5"/>
  <c r="AR192" i="5"/>
  <c r="AQ192" i="5"/>
  <c r="AK455" i="5"/>
  <c r="AL455" i="5"/>
  <c r="AQ65" i="5"/>
  <c r="AR65" i="5"/>
  <c r="AK411" i="5"/>
  <c r="AL411" i="5"/>
  <c r="AP411" i="5"/>
  <c r="AK464" i="5"/>
  <c r="AL464" i="5"/>
  <c r="AL71" i="5"/>
  <c r="AK71" i="5"/>
  <c r="AP71" i="5"/>
  <c r="AP167" i="5"/>
  <c r="AK167" i="5"/>
  <c r="AL167" i="5"/>
  <c r="AK435" i="5"/>
  <c r="AL435" i="5"/>
  <c r="AP435" i="5"/>
  <c r="AL233" i="5"/>
  <c r="AK233" i="5"/>
  <c r="AK276" i="5"/>
  <c r="AL276" i="5"/>
  <c r="AL386" i="5"/>
  <c r="AK386" i="5"/>
  <c r="AK375" i="5"/>
  <c r="AL375" i="5"/>
  <c r="AP375" i="5"/>
  <c r="AK285" i="5"/>
  <c r="AL285" i="5"/>
  <c r="AL362" i="5"/>
  <c r="AP362" i="5"/>
  <c r="AK362" i="5"/>
  <c r="AK229" i="5"/>
  <c r="AL229" i="5"/>
  <c r="AK49" i="5"/>
  <c r="AP49" i="5"/>
  <c r="AL49" i="5"/>
  <c r="AP518" i="5"/>
  <c r="AL518" i="5"/>
  <c r="AK518" i="5"/>
  <c r="AK363" i="5"/>
  <c r="AL363" i="5"/>
  <c r="AK185" i="5"/>
  <c r="AP185" i="5"/>
  <c r="AL185" i="5"/>
  <c r="AK471" i="5"/>
  <c r="AL471" i="5"/>
  <c r="AP471" i="5"/>
  <c r="AL470" i="5"/>
  <c r="AK470" i="5"/>
  <c r="AK255" i="5"/>
  <c r="AL255" i="5"/>
  <c r="AL92" i="5"/>
  <c r="AK92" i="5"/>
  <c r="AK472" i="5"/>
  <c r="AL472" i="5"/>
  <c r="AP472" i="5"/>
  <c r="AK348" i="5"/>
  <c r="AL348" i="5"/>
  <c r="AL238" i="5"/>
  <c r="AK238" i="5"/>
  <c r="AK29" i="5"/>
  <c r="AL29" i="5"/>
  <c r="AK443" i="5"/>
  <c r="AL443" i="5"/>
  <c r="AP443" i="5"/>
  <c r="AP292" i="5"/>
  <c r="AL292" i="5"/>
  <c r="AK292" i="5"/>
  <c r="AK80" i="5"/>
  <c r="AP80" i="5"/>
  <c r="AL80" i="5"/>
  <c r="AK532" i="5"/>
  <c r="AP532" i="5"/>
  <c r="AL532" i="5"/>
  <c r="AL387" i="5"/>
  <c r="AK387" i="5"/>
  <c r="AK243" i="5"/>
  <c r="AL243" i="5"/>
  <c r="AP243" i="5"/>
  <c r="AK75" i="5"/>
  <c r="AL75" i="5"/>
  <c r="AP75" i="5"/>
  <c r="AK62" i="5"/>
  <c r="AP62" i="5"/>
  <c r="AL62" i="5"/>
  <c r="AL526" i="5"/>
  <c r="AK526" i="5"/>
  <c r="AP526" i="5"/>
  <c r="AK388" i="5"/>
  <c r="AL388" i="5"/>
  <c r="AP388" i="5"/>
  <c r="AK237" i="5"/>
  <c r="AL237" i="5"/>
  <c r="AL28" i="5"/>
  <c r="AK28" i="5"/>
  <c r="AP28" i="5"/>
  <c r="AK523" i="5"/>
  <c r="AL523" i="5"/>
  <c r="AK316" i="5"/>
  <c r="AL316" i="5"/>
  <c r="AK236" i="5"/>
  <c r="AL236" i="5"/>
  <c r="AP236" i="5"/>
  <c r="AL125" i="5"/>
  <c r="AK125" i="5"/>
  <c r="AP125" i="5"/>
  <c r="AK452" i="5"/>
  <c r="AL452" i="5"/>
  <c r="AK428" i="5"/>
  <c r="AL428" i="5"/>
  <c r="AL252" i="5"/>
  <c r="AK252" i="5"/>
  <c r="AK156" i="5"/>
  <c r="AP156" i="5"/>
  <c r="AL156" i="5"/>
  <c r="AL46" i="5"/>
  <c r="AK46" i="5"/>
  <c r="AP46" i="5"/>
  <c r="AL508" i="5"/>
  <c r="AK508" i="5"/>
  <c r="AP508" i="5"/>
  <c r="AL412" i="5"/>
  <c r="AK412" i="5"/>
  <c r="AK177" i="5"/>
  <c r="AL177" i="5"/>
  <c r="AP177" i="5"/>
  <c r="AK110" i="5"/>
  <c r="AL110" i="5"/>
  <c r="AL42" i="5"/>
  <c r="AK42" i="5"/>
  <c r="AL502" i="5"/>
  <c r="AK502" i="5"/>
  <c r="AP502" i="5"/>
  <c r="AK346" i="5"/>
  <c r="AL346" i="5"/>
  <c r="AK189" i="5"/>
  <c r="AL189" i="5"/>
  <c r="AK68" i="5"/>
  <c r="AL68" i="5"/>
  <c r="AP68" i="5"/>
  <c r="AL251" i="5"/>
  <c r="AK251" i="5"/>
  <c r="AP251" i="5"/>
  <c r="AK102" i="5"/>
  <c r="AL102" i="5"/>
  <c r="AP102" i="5"/>
  <c r="AK26" i="5"/>
  <c r="AL26" i="5"/>
  <c r="AK479" i="5"/>
  <c r="AL479" i="5"/>
  <c r="AP479" i="5"/>
  <c r="W53" i="4"/>
  <c r="Y53" i="4" s="1"/>
  <c r="Z53" i="4" s="1"/>
  <c r="AF53" i="4" s="1"/>
  <c r="W120" i="4"/>
  <c r="Y120" i="4" s="1"/>
  <c r="AM120" i="4"/>
  <c r="AN120" i="4" s="1"/>
  <c r="AL369" i="5"/>
  <c r="AK369" i="5"/>
  <c r="AP369" i="5"/>
  <c r="AK376" i="5"/>
  <c r="AP376" i="5"/>
  <c r="AL376" i="5"/>
  <c r="AL95" i="5"/>
  <c r="AK95" i="5"/>
  <c r="AP95" i="5"/>
  <c r="AK351" i="5"/>
  <c r="AL351" i="5"/>
  <c r="Y12" i="5"/>
  <c r="X12" i="5"/>
  <c r="AR496" i="5"/>
  <c r="AK152" i="5"/>
  <c r="AP152" i="5"/>
  <c r="AL152" i="5"/>
  <c r="AN7" i="5"/>
  <c r="AO7" i="5"/>
  <c r="AM90" i="4"/>
  <c r="AN90" i="4" s="1"/>
  <c r="W90" i="4"/>
  <c r="Y90" i="4" s="1"/>
  <c r="AQ252" i="5"/>
  <c r="AR252" i="5"/>
  <c r="AM114" i="4"/>
  <c r="AN114" i="4" s="1"/>
  <c r="W114" i="4"/>
  <c r="Y114" i="4" s="1"/>
  <c r="Z114" i="4" s="1"/>
  <c r="AM113" i="4"/>
  <c r="AN113" i="4" s="1"/>
  <c r="W113" i="4"/>
  <c r="Y113" i="4" s="1"/>
  <c r="AQ92" i="5"/>
  <c r="AR92" i="5"/>
  <c r="AR58" i="5"/>
  <c r="AQ58" i="5"/>
  <c r="AK416" i="5"/>
  <c r="AL416" i="5"/>
  <c r="AP416" i="5"/>
  <c r="AI7" i="5"/>
  <c r="AH7" i="5"/>
  <c r="AP7" i="5"/>
  <c r="AP431" i="5"/>
  <c r="AL431" i="5"/>
  <c r="AK431" i="5"/>
  <c r="W55" i="4"/>
  <c r="Y55" i="4" s="1"/>
  <c r="Z55" i="4" s="1"/>
  <c r="AL353" i="5"/>
  <c r="AK353" i="5"/>
  <c r="AP353" i="5"/>
  <c r="AK113" i="5"/>
  <c r="AL113" i="5"/>
  <c r="AK534" i="5"/>
  <c r="AL534" i="5"/>
  <c r="AP534" i="5"/>
  <c r="AL31" i="5"/>
  <c r="AK31" i="5"/>
  <c r="AH99" i="4"/>
  <c r="AH65" i="4"/>
  <c r="Z98" i="4"/>
  <c r="AF98" i="4" s="1"/>
  <c r="AL81" i="5"/>
  <c r="AK81" i="5"/>
  <c r="AK160" i="5"/>
  <c r="AL160" i="5"/>
  <c r="AK135" i="5"/>
  <c r="AL135" i="5"/>
  <c r="AH153" i="4"/>
  <c r="AP452" i="5"/>
  <c r="AK531" i="5"/>
  <c r="AL531" i="5"/>
  <c r="AP208" i="5"/>
  <c r="AK208" i="5"/>
  <c r="AL208" i="5"/>
  <c r="AK389" i="5"/>
  <c r="AL389" i="5"/>
  <c r="AK501" i="5"/>
  <c r="AP501" i="5"/>
  <c r="AL501" i="5"/>
  <c r="AL374" i="5"/>
  <c r="AK374" i="5"/>
  <c r="AP374" i="5"/>
  <c r="AL215" i="5"/>
  <c r="AK215" i="5"/>
  <c r="AP215" i="5"/>
  <c r="AL24" i="5"/>
  <c r="AK24" i="5"/>
  <c r="AK466" i="5"/>
  <c r="AL466" i="5"/>
  <c r="AL325" i="5"/>
  <c r="AP325" i="5"/>
  <c r="AK325" i="5"/>
  <c r="AK123" i="5"/>
  <c r="AL123" i="5"/>
  <c r="AP123" i="5"/>
  <c r="AP468" i="5"/>
  <c r="AK468" i="5"/>
  <c r="AL468" i="5"/>
  <c r="AK407" i="5"/>
  <c r="AL407" i="5"/>
  <c r="AP407" i="5"/>
  <c r="AK284" i="5"/>
  <c r="AL284" i="5"/>
  <c r="AK73" i="5"/>
  <c r="AL73" i="5"/>
  <c r="AP73" i="5"/>
  <c r="AL414" i="5"/>
  <c r="AK414" i="5"/>
  <c r="AP414" i="5"/>
  <c r="AL408" i="5"/>
  <c r="AK408" i="5"/>
  <c r="AP408" i="5"/>
  <c r="AK196" i="5"/>
  <c r="AL196" i="5"/>
  <c r="AP196" i="5"/>
  <c r="AK557" i="5"/>
  <c r="AL557" i="5"/>
  <c r="AK505" i="5"/>
  <c r="AL505" i="5"/>
  <c r="AP505" i="5"/>
  <c r="AL315" i="5"/>
  <c r="AK315" i="5"/>
  <c r="AP315" i="5"/>
  <c r="AL128" i="5"/>
  <c r="AK128" i="5"/>
  <c r="AK538" i="5"/>
  <c r="AL538" i="5"/>
  <c r="AP538" i="5"/>
  <c r="AL406" i="5"/>
  <c r="AK406" i="5"/>
  <c r="AK181" i="5"/>
  <c r="AL181" i="5"/>
  <c r="AL63" i="5"/>
  <c r="AK63" i="5"/>
  <c r="AP63" i="5"/>
  <c r="AK39" i="5"/>
  <c r="AL39" i="5"/>
  <c r="AP39" i="5"/>
  <c r="AK437" i="5"/>
  <c r="AL437" i="5"/>
  <c r="AK434" i="5"/>
  <c r="AL434" i="5"/>
  <c r="AK204" i="5"/>
  <c r="AL204" i="5"/>
  <c r="AP204" i="5"/>
  <c r="AK514" i="5"/>
  <c r="AL514" i="5"/>
  <c r="AP514" i="5"/>
  <c r="AK492" i="5"/>
  <c r="AL492" i="5"/>
  <c r="AL286" i="5"/>
  <c r="AK286" i="5"/>
  <c r="AL172" i="5"/>
  <c r="AK172" i="5"/>
  <c r="AP172" i="5"/>
  <c r="AK85" i="5"/>
  <c r="AL85" i="5"/>
  <c r="AP85" i="5"/>
  <c r="AK552" i="5"/>
  <c r="AL552" i="5"/>
  <c r="AL381" i="5"/>
  <c r="AK381" i="5"/>
  <c r="AL322" i="5"/>
  <c r="AP322" i="5"/>
  <c r="AK322" i="5"/>
  <c r="AK164" i="5"/>
  <c r="AL164" i="5"/>
  <c r="AK497" i="5"/>
  <c r="AL497" i="5"/>
  <c r="AL418" i="5"/>
  <c r="AK418" i="5"/>
  <c r="AL356" i="5"/>
  <c r="AK356" i="5"/>
  <c r="AK305" i="5"/>
  <c r="AL305" i="5"/>
  <c r="AK149" i="5"/>
  <c r="AL149" i="5"/>
  <c r="AP44" i="5"/>
  <c r="AK44" i="5"/>
  <c r="AL44" i="5"/>
  <c r="AL506" i="5"/>
  <c r="AK506" i="5"/>
  <c r="AK333" i="5"/>
  <c r="AL333" i="5"/>
  <c r="AL234" i="5"/>
  <c r="AK234" i="5"/>
  <c r="AL38" i="5"/>
  <c r="AK38" i="5"/>
  <c r="AL329" i="5"/>
  <c r="AK329" i="5"/>
  <c r="AP329" i="5"/>
  <c r="AL141" i="5"/>
  <c r="AK141" i="5"/>
  <c r="AK256" i="5"/>
  <c r="AL256" i="5"/>
  <c r="AK447" i="5"/>
  <c r="AL447" i="5"/>
  <c r="AL112" i="5"/>
  <c r="AK112" i="5"/>
  <c r="AM92" i="4"/>
  <c r="AN92" i="4" s="1"/>
  <c r="W92" i="4"/>
  <c r="Y92" i="4" s="1"/>
  <c r="Z92" i="4" s="1"/>
  <c r="AP12" i="5"/>
  <c r="AI12" i="5"/>
  <c r="AH12" i="5"/>
  <c r="AP164" i="5"/>
  <c r="AP305" i="5"/>
  <c r="AK459" i="5"/>
  <c r="AL459" i="5"/>
  <c r="AP459" i="5"/>
  <c r="AK88" i="5"/>
  <c r="AL88" i="5"/>
  <c r="AP88" i="5"/>
  <c r="AQ205" i="5"/>
  <c r="AR205" i="5"/>
  <c r="AQ434" i="5"/>
  <c r="AR434" i="5"/>
  <c r="AL541" i="5"/>
  <c r="AK541" i="5"/>
  <c r="AP541" i="5"/>
  <c r="AR129" i="5"/>
  <c r="AQ129" i="5"/>
  <c r="AM50" i="4"/>
  <c r="AN50" i="4" s="1"/>
  <c r="W50" i="4"/>
  <c r="Y50" i="4" s="1"/>
  <c r="Z50" i="4" s="1"/>
  <c r="AL56" i="5"/>
  <c r="AK56" i="5"/>
  <c r="AL144" i="5"/>
  <c r="AK144" i="5"/>
  <c r="AK368" i="5"/>
  <c r="AL368" i="5"/>
  <c r="AK7" i="5"/>
  <c r="AL7" i="5"/>
  <c r="AQ380" i="5"/>
  <c r="AR380" i="5"/>
  <c r="AQ51" i="5"/>
  <c r="AR51" i="5"/>
  <c r="AM122" i="4"/>
  <c r="AN122" i="4" s="1"/>
  <c r="W122" i="4"/>
  <c r="Y122" i="4" s="1"/>
  <c r="Z122" i="4" s="1"/>
  <c r="AK525" i="5"/>
  <c r="AL525" i="5"/>
  <c r="W48" i="4"/>
  <c r="Y48" i="4" s="1"/>
  <c r="AK489" i="5"/>
  <c r="AL489" i="5"/>
  <c r="AP489" i="5"/>
  <c r="AM78" i="4"/>
  <c r="AN78" i="4" s="1"/>
  <c r="AK89" i="5"/>
  <c r="AL89" i="5"/>
  <c r="AP399" i="5"/>
  <c r="AK399" i="5"/>
  <c r="AL399" i="5"/>
  <c r="AM119" i="4"/>
  <c r="AN119" i="4" s="1"/>
  <c r="W119" i="4"/>
  <c r="Y119" i="4" s="1"/>
  <c r="Z119" i="4" s="1"/>
  <c r="AK449" i="5"/>
  <c r="AL449" i="5"/>
  <c r="AK359" i="5"/>
  <c r="AL359" i="5"/>
  <c r="AM138" i="4"/>
  <c r="AN138" i="4" s="1"/>
  <c r="W138" i="4"/>
  <c r="Y138" i="4" s="1"/>
  <c r="Z138" i="4" s="1"/>
  <c r="AM36" i="4"/>
  <c r="AN36" i="4" s="1"/>
  <c r="W36" i="4"/>
  <c r="Y36" i="4" s="1"/>
  <c r="AP412" i="5"/>
  <c r="AK495" i="5"/>
  <c r="AL495" i="5"/>
  <c r="AK536" i="5"/>
  <c r="AL536" i="5"/>
  <c r="AL493" i="5"/>
  <c r="AK493" i="5"/>
  <c r="AL433" i="5"/>
  <c r="AP433" i="5"/>
  <c r="AK433" i="5"/>
  <c r="AL427" i="5"/>
  <c r="AP427" i="5"/>
  <c r="AK427" i="5"/>
  <c r="AK162" i="5"/>
  <c r="AL162" i="5"/>
  <c r="AL543" i="5"/>
  <c r="AK543" i="5"/>
  <c r="AP543" i="5"/>
  <c r="AP288" i="5"/>
  <c r="AL288" i="5"/>
  <c r="AK288" i="5"/>
  <c r="AK245" i="5"/>
  <c r="AL245" i="5"/>
  <c r="AK87" i="5"/>
  <c r="AL87" i="5"/>
  <c r="AL261" i="5"/>
  <c r="AK261" i="5"/>
  <c r="AK323" i="5"/>
  <c r="AL323" i="5"/>
  <c r="AP323" i="5"/>
  <c r="AL209" i="5"/>
  <c r="AK209" i="5"/>
  <c r="AP209" i="5"/>
  <c r="AK66" i="5"/>
  <c r="AL66" i="5"/>
  <c r="AK503" i="5"/>
  <c r="AL503" i="5"/>
  <c r="AP503" i="5"/>
  <c r="AL344" i="5"/>
  <c r="AP344" i="5"/>
  <c r="AK344" i="5"/>
  <c r="AL168" i="5"/>
  <c r="AK168" i="5"/>
  <c r="AP168" i="5"/>
  <c r="AL554" i="5"/>
  <c r="AK554" i="5"/>
  <c r="AP554" i="5"/>
  <c r="AK444" i="5"/>
  <c r="AL444" i="5"/>
  <c r="AK248" i="5"/>
  <c r="AL248" i="5"/>
  <c r="AP248" i="5"/>
  <c r="AL104" i="5"/>
  <c r="AK104" i="5"/>
  <c r="AK458" i="5"/>
  <c r="AL458" i="5"/>
  <c r="AL336" i="5"/>
  <c r="AK336" i="5"/>
  <c r="AP336" i="5"/>
  <c r="AK219" i="5"/>
  <c r="AL219" i="5"/>
  <c r="AL25" i="5"/>
  <c r="AK25" i="5"/>
  <c r="AK23" i="5"/>
  <c r="AL23" i="5"/>
  <c r="AL266" i="5"/>
  <c r="AK266" i="5"/>
  <c r="AP266" i="5"/>
  <c r="AK377" i="5"/>
  <c r="AL377" i="5"/>
  <c r="AP377" i="5"/>
  <c r="AP179" i="5"/>
  <c r="AK179" i="5"/>
  <c r="AL179" i="5"/>
  <c r="AL462" i="5"/>
  <c r="AK462" i="5"/>
  <c r="AK429" i="5"/>
  <c r="AL429" i="5"/>
  <c r="AP429" i="5"/>
  <c r="AL258" i="5"/>
  <c r="AK258" i="5"/>
  <c r="AK228" i="5"/>
  <c r="AL228" i="5"/>
  <c r="AP228" i="5"/>
  <c r="AL60" i="5"/>
  <c r="AK60" i="5"/>
  <c r="AP60" i="5"/>
  <c r="AK485" i="5"/>
  <c r="AL485" i="5"/>
  <c r="AK300" i="5"/>
  <c r="AL300" i="5"/>
  <c r="AK310" i="5"/>
  <c r="AL310" i="5"/>
  <c r="AP310" i="5"/>
  <c r="AL114" i="5"/>
  <c r="AP114" i="5"/>
  <c r="AK114" i="5"/>
  <c r="AK535" i="5"/>
  <c r="AL535" i="5"/>
  <c r="AK482" i="5"/>
  <c r="AL482" i="5"/>
  <c r="AP482" i="5"/>
  <c r="AL340" i="5"/>
  <c r="AK340" i="5"/>
  <c r="AP269" i="5"/>
  <c r="AK269" i="5"/>
  <c r="AL269" i="5"/>
  <c r="AL118" i="5"/>
  <c r="AK118" i="5"/>
  <c r="AK486" i="5"/>
  <c r="AL486" i="5"/>
  <c r="AL446" i="5"/>
  <c r="AK446" i="5"/>
  <c r="AP446" i="5"/>
  <c r="AK221" i="5"/>
  <c r="AL221" i="5"/>
  <c r="AP242" i="5"/>
  <c r="AK242" i="5"/>
  <c r="AL242" i="5"/>
  <c r="AL370" i="5"/>
  <c r="AK370" i="5"/>
  <c r="AL294" i="5"/>
  <c r="AK294" i="5"/>
  <c r="AK70" i="5"/>
  <c r="AL70" i="5"/>
  <c r="AK199" i="5"/>
  <c r="AL199" i="5"/>
  <c r="AP351" i="5"/>
  <c r="AP286" i="5"/>
  <c r="AP523" i="5"/>
  <c r="AK155" i="5"/>
  <c r="AL155" i="5"/>
  <c r="AP155" i="5"/>
  <c r="B80" i="2"/>
  <c r="B143" i="2"/>
  <c r="B75" i="2"/>
  <c r="B108" i="2"/>
  <c r="B109" i="2" s="1"/>
  <c r="B98" i="2"/>
  <c r="AP55" i="5"/>
  <c r="AM82" i="4"/>
  <c r="AN82" i="4" s="1"/>
  <c r="W82" i="4"/>
  <c r="Y82" i="4" s="1"/>
  <c r="Z82" i="4" s="1"/>
  <c r="AF82" i="4" s="1"/>
  <c r="AK12" i="5"/>
  <c r="AL12" i="5"/>
  <c r="AP221" i="5"/>
  <c r="AK224" i="5"/>
  <c r="AL224" i="5"/>
  <c r="AP224" i="5"/>
  <c r="AR109" i="5"/>
  <c r="AQ109" i="5"/>
  <c r="AQ176" i="5"/>
  <c r="AR176" i="5"/>
  <c r="AK223" i="5"/>
  <c r="AL223" i="5"/>
  <c r="AL35" i="5"/>
  <c r="AK35" i="5"/>
  <c r="AP35" i="5"/>
  <c r="AK97" i="5"/>
  <c r="AL97" i="5"/>
  <c r="AK367" i="5"/>
  <c r="AL367" i="5"/>
  <c r="AP367" i="5"/>
  <c r="AM149" i="4"/>
  <c r="AN149" i="4" s="1"/>
  <c r="W149" i="4"/>
  <c r="Y149" i="4" s="1"/>
  <c r="AQ418" i="5"/>
  <c r="AR418" i="5"/>
  <c r="AL107" i="5"/>
  <c r="AK107" i="5"/>
  <c r="AP107" i="5"/>
  <c r="AL328" i="5"/>
  <c r="AK328" i="5"/>
  <c r="AK183" i="5"/>
  <c r="AP183" i="5"/>
  <c r="AL183" i="5"/>
  <c r="AK439" i="5"/>
  <c r="AL439" i="5"/>
  <c r="AR212" i="5"/>
  <c r="AQ212" i="5"/>
  <c r="AR387" i="5"/>
  <c r="AQ387" i="5"/>
  <c r="AL32" i="5"/>
  <c r="AK32" i="5"/>
  <c r="AP32" i="5"/>
  <c r="AL303" i="5"/>
  <c r="AP303" i="5"/>
  <c r="AK303" i="5"/>
  <c r="AM136" i="4"/>
  <c r="AN136" i="4" s="1"/>
  <c r="W136" i="4"/>
  <c r="Y136" i="4" s="1"/>
  <c r="Z136" i="4" s="1"/>
  <c r="AF136" i="4" s="1"/>
  <c r="W17" i="4"/>
  <c r="Y17" i="4" s="1"/>
  <c r="AR428" i="5"/>
  <c r="AQ428" i="5"/>
  <c r="AK335" i="5"/>
  <c r="AL335" i="5"/>
  <c r="AL96" i="5"/>
  <c r="AK96" i="5"/>
  <c r="AL47" i="5"/>
  <c r="AK47" i="5"/>
  <c r="AM154" i="4"/>
  <c r="AN154" i="4" s="1"/>
  <c r="W154" i="4"/>
  <c r="Y154" i="4" s="1"/>
  <c r="Z154" i="4" s="1"/>
  <c r="AL265" i="5"/>
  <c r="AK265" i="5"/>
  <c r="AP265" i="5"/>
  <c r="AL121" i="5"/>
  <c r="AK121" i="5"/>
  <c r="AP423" i="5"/>
  <c r="AK423" i="5"/>
  <c r="AL423" i="5"/>
  <c r="AM99" i="4"/>
  <c r="AN99" i="4" s="1"/>
  <c r="W99" i="4"/>
  <c r="Y99" i="4" s="1"/>
  <c r="Z99" i="4" s="1"/>
  <c r="AM112" i="4"/>
  <c r="AN112" i="4" s="1"/>
  <c r="W112" i="4"/>
  <c r="Y112" i="4" s="1"/>
  <c r="Z112" i="4" s="1"/>
  <c r="AF112" i="4" s="1"/>
  <c r="AM65" i="4"/>
  <c r="AN65" i="4" s="1"/>
  <c r="W65" i="4"/>
  <c r="Y65" i="4" s="1"/>
  <c r="Z65" i="4" s="1"/>
  <c r="AM153" i="4"/>
  <c r="AN153" i="4" s="1"/>
  <c r="W153" i="4"/>
  <c r="Y153" i="4" s="1"/>
  <c r="Z153" i="4" s="1"/>
  <c r="AL201" i="5"/>
  <c r="AP201" i="5"/>
  <c r="AK201" i="5"/>
  <c r="AL306" i="5"/>
  <c r="AK306" i="5"/>
  <c r="AK400" i="5"/>
  <c r="AL400" i="5"/>
  <c r="AP400" i="5"/>
  <c r="AK212" i="5"/>
  <c r="AL212" i="5"/>
  <c r="AK520" i="5"/>
  <c r="AL520" i="5"/>
  <c r="AK365" i="5"/>
  <c r="AL365" i="5"/>
  <c r="AL178" i="5"/>
  <c r="AK178" i="5"/>
  <c r="AL475" i="5"/>
  <c r="AK475" i="5"/>
  <c r="AP475" i="5"/>
  <c r="AK476" i="5"/>
  <c r="AL476" i="5"/>
  <c r="AK268" i="5"/>
  <c r="AL268" i="5"/>
  <c r="AP268" i="5"/>
  <c r="AK98" i="5"/>
  <c r="AP98" i="5"/>
  <c r="AL98" i="5"/>
  <c r="AK491" i="5"/>
  <c r="AL491" i="5"/>
  <c r="AK364" i="5"/>
  <c r="AL364" i="5"/>
  <c r="AL244" i="5"/>
  <c r="AK244" i="5"/>
  <c r="AL30" i="5"/>
  <c r="AK30" i="5"/>
  <c r="AK450" i="5"/>
  <c r="AL450" i="5"/>
  <c r="AL304" i="5"/>
  <c r="AK304" i="5"/>
  <c r="AK86" i="5"/>
  <c r="AL86" i="5"/>
  <c r="AP86" i="5"/>
  <c r="AL549" i="5"/>
  <c r="AK549" i="5"/>
  <c r="AP549" i="5"/>
  <c r="AK391" i="5"/>
  <c r="AL391" i="5"/>
  <c r="AP391" i="5"/>
  <c r="AL247" i="5"/>
  <c r="AP247" i="5"/>
  <c r="AK247" i="5"/>
  <c r="AL76" i="5"/>
  <c r="AK76" i="5"/>
  <c r="AP76" i="5"/>
  <c r="AL393" i="5"/>
  <c r="AP393" i="5"/>
  <c r="AK393" i="5"/>
  <c r="AL390" i="5"/>
  <c r="AK390" i="5"/>
  <c r="AL182" i="5"/>
  <c r="AK182" i="5"/>
  <c r="AK137" i="5"/>
  <c r="AL137" i="5"/>
  <c r="AP137" i="5"/>
  <c r="AM13" i="5"/>
  <c r="T13" i="5"/>
  <c r="AG13" i="5"/>
  <c r="Q13" i="5"/>
  <c r="AJ13" i="5"/>
  <c r="W13" i="5"/>
  <c r="AK481" i="5"/>
  <c r="AL481" i="5"/>
  <c r="AP481" i="5"/>
  <c r="AK355" i="5"/>
  <c r="AL355" i="5"/>
  <c r="AK140" i="5"/>
  <c r="AL140" i="5"/>
  <c r="AL558" i="5"/>
  <c r="AK558" i="5"/>
  <c r="AK405" i="5"/>
  <c r="AL405" i="5"/>
  <c r="AL324" i="5"/>
  <c r="AK324" i="5"/>
  <c r="AK173" i="5"/>
  <c r="AL173" i="5"/>
  <c r="AK61" i="5"/>
  <c r="AL61" i="5"/>
  <c r="AP61" i="5"/>
  <c r="AK445" i="5"/>
  <c r="AL445" i="5"/>
  <c r="AP445" i="5"/>
  <c r="AL354" i="5"/>
  <c r="AK354" i="5"/>
  <c r="AK198" i="5"/>
  <c r="AL198" i="5"/>
  <c r="AP198" i="5"/>
  <c r="AL157" i="5"/>
  <c r="AK157" i="5"/>
  <c r="AL556" i="5"/>
  <c r="AK556" i="5"/>
  <c r="AL461" i="5"/>
  <c r="AK461" i="5"/>
  <c r="AK308" i="5"/>
  <c r="AP308" i="5"/>
  <c r="AL308" i="5"/>
  <c r="AK193" i="5"/>
  <c r="AP193" i="5"/>
  <c r="AL193" i="5"/>
  <c r="AP100" i="5"/>
  <c r="AK100" i="5"/>
  <c r="AL100" i="5"/>
  <c r="AL548" i="5"/>
  <c r="AK548" i="5"/>
  <c r="AL338" i="5"/>
  <c r="AK338" i="5"/>
  <c r="AL314" i="5"/>
  <c r="AK314" i="5"/>
  <c r="AL180" i="5"/>
  <c r="AK180" i="5"/>
  <c r="AP180" i="5"/>
  <c r="AK345" i="5"/>
  <c r="AL345" i="5"/>
  <c r="AL253" i="5"/>
  <c r="AK253" i="5"/>
  <c r="AP253" i="5"/>
  <c r="AK58" i="5"/>
  <c r="AL58" i="5"/>
  <c r="AP160" i="5"/>
  <c r="AP466" i="5"/>
  <c r="AL395" i="5"/>
  <c r="AP395" i="5"/>
  <c r="AK395" i="5"/>
  <c r="AP363" i="5"/>
  <c r="AK504" i="5"/>
  <c r="AL504" i="5"/>
  <c r="AP504" i="5"/>
  <c r="V12" i="5"/>
  <c r="U12" i="5"/>
  <c r="AQ333" i="5"/>
  <c r="AR333" i="5"/>
  <c r="AK311" i="5"/>
  <c r="AP311" i="5"/>
  <c r="AL311" i="5"/>
  <c r="AM131" i="4"/>
  <c r="AN131" i="4" s="1"/>
  <c r="W131" i="4"/>
  <c r="Y131" i="4" s="1"/>
  <c r="AK111" i="5"/>
  <c r="AL111" i="5"/>
  <c r="AP111" i="5"/>
  <c r="AR72" i="5"/>
  <c r="AL40" i="5"/>
  <c r="AK40" i="5"/>
  <c r="AP40" i="5"/>
  <c r="AL280" i="5"/>
  <c r="AK280" i="5"/>
  <c r="AM124" i="4"/>
  <c r="AN124" i="4" s="1"/>
  <c r="W124" i="4"/>
  <c r="Y124" i="4" s="1"/>
  <c r="Z124" i="4" s="1"/>
  <c r="AQ283" i="5"/>
  <c r="AR283" i="5"/>
  <c r="AP328" i="5"/>
  <c r="X7" i="5"/>
  <c r="Y7" i="5"/>
  <c r="AQ348" i="5"/>
  <c r="AR348" i="5"/>
  <c r="AL119" i="5"/>
  <c r="AK119" i="5"/>
  <c r="AM42" i="4"/>
  <c r="AN42" i="4" s="1"/>
  <c r="W42" i="4"/>
  <c r="Y42" i="4" s="1"/>
  <c r="AK79" i="5"/>
  <c r="AL79" i="5"/>
  <c r="AL143" i="5"/>
  <c r="AK143" i="5"/>
  <c r="AK313" i="5"/>
  <c r="AL313" i="5"/>
  <c r="AK72" i="5"/>
  <c r="AL72" i="5"/>
  <c r="AL264" i="5"/>
  <c r="AK264" i="5"/>
  <c r="AK320" i="5"/>
  <c r="AP320" i="5"/>
  <c r="AL320" i="5"/>
  <c r="AL207" i="5"/>
  <c r="AK207" i="5"/>
  <c r="AP207" i="5"/>
  <c r="W87" i="4"/>
  <c r="Y87" i="4" s="1"/>
  <c r="AM87" i="4"/>
  <c r="AN87" i="4" s="1"/>
  <c r="AL473" i="5"/>
  <c r="AK473" i="5"/>
  <c r="AP464" i="5"/>
  <c r="AL553" i="5"/>
  <c r="AK553" i="5"/>
  <c r="AH144" i="4"/>
  <c r="B105" i="2"/>
  <c r="B106" i="2" s="1"/>
  <c r="B74" i="2"/>
  <c r="B95" i="2"/>
  <c r="AL546" i="5"/>
  <c r="AK546" i="5"/>
  <c r="AP546" i="5"/>
  <c r="AK175" i="5"/>
  <c r="AL175" i="5"/>
  <c r="AK10" i="5"/>
  <c r="AL10" i="5"/>
  <c r="AL469" i="5"/>
  <c r="AP469" i="5"/>
  <c r="AK469" i="5"/>
  <c r="AK334" i="5"/>
  <c r="AP334" i="5"/>
  <c r="AL334" i="5"/>
  <c r="AL129" i="5"/>
  <c r="AK129" i="5"/>
  <c r="AK516" i="5"/>
  <c r="AL516" i="5"/>
  <c r="AK409" i="5"/>
  <c r="AL409" i="5"/>
  <c r="AP409" i="5"/>
  <c r="AK290" i="5"/>
  <c r="AL290" i="5"/>
  <c r="AK91" i="5"/>
  <c r="AL91" i="5"/>
  <c r="AL424" i="5"/>
  <c r="AK424" i="5"/>
  <c r="AP424" i="5"/>
  <c r="AK419" i="5"/>
  <c r="AL419" i="5"/>
  <c r="AK124" i="5"/>
  <c r="AL124" i="5"/>
  <c r="AP124" i="5"/>
  <c r="AK474" i="5"/>
  <c r="AL474" i="5"/>
  <c r="AK511" i="5"/>
  <c r="AL511" i="5"/>
  <c r="AP511" i="5"/>
  <c r="AK332" i="5"/>
  <c r="AL332" i="5"/>
  <c r="AL146" i="5"/>
  <c r="AK146" i="5"/>
  <c r="AL540" i="5"/>
  <c r="AK540" i="5"/>
  <c r="AK415" i="5"/>
  <c r="AL415" i="5"/>
  <c r="AP415" i="5"/>
  <c r="AK192" i="5"/>
  <c r="AL192" i="5"/>
  <c r="AL69" i="5"/>
  <c r="AK69" i="5"/>
  <c r="AL494" i="5"/>
  <c r="AK494" i="5"/>
  <c r="AL296" i="5"/>
  <c r="AK296" i="5"/>
  <c r="AL154" i="5"/>
  <c r="AK154" i="5"/>
  <c r="AK151" i="5"/>
  <c r="AL151" i="5"/>
  <c r="AP151" i="5"/>
  <c r="AP19" i="5"/>
  <c r="AL19" i="5"/>
  <c r="AK19" i="5"/>
  <c r="AK373" i="5"/>
  <c r="AL373" i="5"/>
  <c r="AP373" i="5"/>
  <c r="AL267" i="5"/>
  <c r="AK267" i="5"/>
  <c r="AK134" i="5"/>
  <c r="AL134" i="5"/>
  <c r="AK490" i="5"/>
  <c r="AP490" i="5"/>
  <c r="AL490" i="5"/>
  <c r="AK382" i="5"/>
  <c r="AL382" i="5"/>
  <c r="AL301" i="5"/>
  <c r="AK301" i="5"/>
  <c r="AK166" i="5"/>
  <c r="AL166" i="5"/>
  <c r="AK52" i="5"/>
  <c r="AL52" i="5"/>
  <c r="AP52" i="5"/>
  <c r="AK421" i="5"/>
  <c r="AL421" i="5"/>
  <c r="AK413" i="5"/>
  <c r="AP413" i="5"/>
  <c r="AL413" i="5"/>
  <c r="AL197" i="5"/>
  <c r="AK197" i="5"/>
  <c r="AP197" i="5"/>
  <c r="AL130" i="5"/>
  <c r="AK130" i="5"/>
  <c r="AK547" i="5"/>
  <c r="AP547" i="5"/>
  <c r="AL547" i="5"/>
  <c r="AP385" i="5"/>
  <c r="AK385" i="5"/>
  <c r="AL385" i="5"/>
  <c r="AL277" i="5"/>
  <c r="AK277" i="5"/>
  <c r="AP277" i="5"/>
  <c r="AK222" i="5"/>
  <c r="AL222" i="5"/>
  <c r="AL109" i="5"/>
  <c r="AK109" i="5"/>
  <c r="AL528" i="5"/>
  <c r="AK528" i="5"/>
  <c r="AK396" i="5"/>
  <c r="AL396" i="5"/>
  <c r="AP254" i="5"/>
  <c r="AK254" i="5"/>
  <c r="AL254" i="5"/>
  <c r="AK133" i="5"/>
  <c r="AL133" i="5"/>
  <c r="AL246" i="5"/>
  <c r="AK246" i="5"/>
  <c r="AP246" i="5"/>
  <c r="AK241" i="5"/>
  <c r="AL241" i="5"/>
  <c r="AP241" i="5"/>
  <c r="AK65" i="5"/>
  <c r="AL65" i="5"/>
  <c r="AP128" i="5"/>
  <c r="AK384" i="5"/>
  <c r="AL384" i="5"/>
  <c r="AP553" i="5"/>
  <c r="AP121" i="5"/>
  <c r="AP154" i="5"/>
  <c r="AP149" i="5"/>
  <c r="AL203" i="5"/>
  <c r="AP203" i="5"/>
  <c r="AK203" i="5"/>
  <c r="AL176" i="5"/>
  <c r="AK176" i="5"/>
  <c r="AP256" i="5"/>
  <c r="AK448" i="5"/>
  <c r="AL448" i="5"/>
  <c r="AL263" i="5"/>
  <c r="AK263" i="5"/>
  <c r="AP263" i="5"/>
  <c r="W75" i="4"/>
  <c r="Y75" i="4" s="1"/>
  <c r="AP316" i="5"/>
  <c r="AP285" i="5"/>
  <c r="AP294" i="5"/>
  <c r="AP115" i="5"/>
  <c r="AK115" i="5"/>
  <c r="AL115" i="5"/>
  <c r="AL339" i="5"/>
  <c r="AP339" i="5"/>
  <c r="AK339" i="5"/>
  <c r="AL360" i="5"/>
  <c r="AK360" i="5"/>
  <c r="AK127" i="5"/>
  <c r="AL127" i="5"/>
  <c r="AR225" i="5"/>
  <c r="AQ225" i="5"/>
  <c r="AK83" i="5"/>
  <c r="AL83" i="5"/>
  <c r="AP83" i="5"/>
  <c r="AK48" i="5"/>
  <c r="AL48" i="5"/>
  <c r="AP240" i="5"/>
  <c r="AK488" i="5"/>
  <c r="AL488" i="5"/>
  <c r="AM147" i="4"/>
  <c r="AN147" i="4" s="1"/>
  <c r="W147" i="4"/>
  <c r="Y147" i="4" s="1"/>
  <c r="Z147" i="4" s="1"/>
  <c r="W106" i="4"/>
  <c r="Y106" i="4" s="1"/>
  <c r="Z106" i="4" s="1"/>
  <c r="AF106" i="4" s="1"/>
  <c r="W31" i="4"/>
  <c r="Y31" i="4" s="1"/>
  <c r="AP113" i="5"/>
  <c r="AP96" i="5"/>
  <c r="AK216" i="5"/>
  <c r="AL216" i="5"/>
  <c r="AK271" i="5"/>
  <c r="AL271" i="5"/>
  <c r="AP271" i="5"/>
  <c r="AK430" i="5"/>
  <c r="AL430" i="5"/>
  <c r="AP430" i="5"/>
  <c r="AL456" i="5"/>
  <c r="AK456" i="5"/>
  <c r="AP456" i="5"/>
  <c r="AL545" i="5"/>
  <c r="AK545" i="5"/>
  <c r="AL361" i="5"/>
  <c r="AK361" i="5"/>
  <c r="AP361" i="5"/>
  <c r="AK260" i="5"/>
  <c r="AL260" i="5"/>
  <c r="AK122" i="5"/>
  <c r="AL122" i="5"/>
  <c r="AP122" i="5"/>
  <c r="AP279" i="5"/>
  <c r="AL279" i="5"/>
  <c r="AK279" i="5"/>
  <c r="AL343" i="5"/>
  <c r="AK343" i="5"/>
  <c r="AP343" i="5"/>
  <c r="AK220" i="5"/>
  <c r="AL220" i="5"/>
  <c r="AP220" i="5"/>
  <c r="AK27" i="5"/>
  <c r="AL27" i="5"/>
  <c r="AP27" i="5"/>
  <c r="AK513" i="5"/>
  <c r="AL513" i="5"/>
  <c r="AP513" i="5"/>
  <c r="AK350" i="5"/>
  <c r="AL350" i="5"/>
  <c r="AP174" i="5"/>
  <c r="AK174" i="5"/>
  <c r="AL174" i="5"/>
  <c r="AL560" i="5"/>
  <c r="AK560" i="5"/>
  <c r="AK453" i="5"/>
  <c r="AL453" i="5"/>
  <c r="AP453" i="5"/>
  <c r="AK249" i="5"/>
  <c r="AL249" i="5"/>
  <c r="AP249" i="5"/>
  <c r="AK90" i="5"/>
  <c r="AL90" i="5"/>
  <c r="AP90" i="5"/>
  <c r="AL460" i="5"/>
  <c r="AK460" i="5"/>
  <c r="AL341" i="5"/>
  <c r="AK341" i="5"/>
  <c r="AK235" i="5"/>
  <c r="AL235" i="5"/>
  <c r="AP235" i="5"/>
  <c r="AL37" i="5"/>
  <c r="AK37" i="5"/>
  <c r="AL441" i="5"/>
  <c r="AK441" i="5"/>
  <c r="AP441" i="5"/>
  <c r="AK289" i="5"/>
  <c r="AL289" i="5"/>
  <c r="AP289" i="5"/>
  <c r="AK145" i="5"/>
  <c r="AL145" i="5"/>
  <c r="AP145" i="5"/>
  <c r="AL136" i="5"/>
  <c r="AP136" i="5"/>
  <c r="AK136" i="5"/>
  <c r="AK498" i="5"/>
  <c r="AL498" i="5"/>
  <c r="AP480" i="5"/>
  <c r="AL480" i="5"/>
  <c r="AK480" i="5"/>
  <c r="AL287" i="5"/>
  <c r="AK287" i="5"/>
  <c r="AK106" i="5"/>
  <c r="AL106" i="5"/>
  <c r="AP106" i="5"/>
  <c r="AK422" i="5"/>
  <c r="AL422" i="5"/>
  <c r="AL398" i="5"/>
  <c r="AK398" i="5"/>
  <c r="AK230" i="5"/>
  <c r="AL230" i="5"/>
  <c r="AP230" i="5"/>
  <c r="AK150" i="5"/>
  <c r="AL150" i="5"/>
  <c r="AP150" i="5"/>
  <c r="AK21" i="5"/>
  <c r="AL21" i="5"/>
  <c r="AK509" i="5"/>
  <c r="AL509" i="5"/>
  <c r="AP509" i="5"/>
  <c r="AL380" i="5"/>
  <c r="AK380" i="5"/>
  <c r="AK226" i="5"/>
  <c r="AL226" i="5"/>
  <c r="AK84" i="5"/>
  <c r="AL84" i="5"/>
  <c r="AP84" i="5"/>
  <c r="AK527" i="5"/>
  <c r="AL527" i="5"/>
  <c r="AL401" i="5"/>
  <c r="AP401" i="5"/>
  <c r="AK401" i="5"/>
  <c r="AK250" i="5"/>
  <c r="AL250" i="5"/>
  <c r="AK194" i="5"/>
  <c r="AL194" i="5"/>
  <c r="AK78" i="5"/>
  <c r="AL78" i="5"/>
  <c r="AP550" i="5"/>
  <c r="AK550" i="5"/>
  <c r="AL550" i="5"/>
  <c r="AK420" i="5"/>
  <c r="AL420" i="5"/>
  <c r="AK330" i="5"/>
  <c r="AL330" i="5"/>
  <c r="AL116" i="5"/>
  <c r="AK116" i="5"/>
  <c r="AP116" i="5"/>
  <c r="AK297" i="5"/>
  <c r="AL297" i="5"/>
  <c r="AP297" i="5"/>
  <c r="AK214" i="5"/>
  <c r="AL214" i="5"/>
  <c r="AK36" i="5"/>
  <c r="AP36" i="5"/>
  <c r="AL36" i="5"/>
  <c r="AK512" i="5"/>
  <c r="AL512" i="5"/>
  <c r="AP473" i="5"/>
  <c r="AP439" i="5"/>
  <c r="S12" i="5"/>
  <c r="R12" i="5"/>
  <c r="AP89" i="5"/>
  <c r="AP449" i="5"/>
  <c r="AP458" i="5"/>
  <c r="AL59" i="5"/>
  <c r="AK59" i="5"/>
  <c r="AP59" i="5"/>
  <c r="AK457" i="5"/>
  <c r="AL457" i="5"/>
  <c r="AL519" i="5"/>
  <c r="AK519" i="5"/>
  <c r="AP519" i="5"/>
  <c r="AK217" i="5"/>
  <c r="AL217" i="5"/>
  <c r="AK200" i="5"/>
  <c r="AL200" i="5"/>
  <c r="AP200" i="5"/>
  <c r="AM104" i="4"/>
  <c r="AN104" i="4" s="1"/>
  <c r="W104" i="4"/>
  <c r="Y104" i="4" s="1"/>
  <c r="Z104" i="4" s="1"/>
  <c r="AH107" i="4"/>
  <c r="AR548" i="5"/>
  <c r="AM156" i="4"/>
  <c r="AN156" i="4" s="1"/>
  <c r="W156" i="4"/>
  <c r="Y156" i="4" s="1"/>
  <c r="Z156" i="4" s="1"/>
  <c r="AK432" i="5"/>
  <c r="AL432" i="5"/>
  <c r="AP223" i="5"/>
  <c r="W107" i="4"/>
  <c r="Y107" i="4" s="1"/>
  <c r="Z107" i="4" s="1"/>
  <c r="AM107" i="4"/>
  <c r="AN107" i="4" s="1"/>
  <c r="AL8" i="5"/>
  <c r="AK8" i="5"/>
  <c r="AP280" i="5"/>
  <c r="S7" i="5"/>
  <c r="R7" i="5"/>
  <c r="AH28" i="4"/>
  <c r="AM139" i="4"/>
  <c r="AN139" i="4" s="1"/>
  <c r="AH90" i="4"/>
  <c r="AQ130" i="5"/>
  <c r="AR130" i="5"/>
  <c r="AQ340" i="5"/>
  <c r="AL312" i="5"/>
  <c r="AK312" i="5"/>
  <c r="AK295" i="5"/>
  <c r="AL295" i="5"/>
  <c r="AP295" i="5"/>
  <c r="AP455" i="5"/>
  <c r="AL211" i="5"/>
  <c r="AK211" i="5"/>
  <c r="AL347" i="5"/>
  <c r="AK347" i="5"/>
  <c r="AP347" i="5"/>
  <c r="AP8" i="5"/>
  <c r="AK327" i="5"/>
  <c r="AL327" i="5"/>
  <c r="AM151" i="4"/>
  <c r="AN151" i="4" s="1"/>
  <c r="W151" i="4"/>
  <c r="Y151" i="4" s="1"/>
  <c r="Z151" i="4" s="1"/>
  <c r="AF151" i="4" s="1"/>
  <c r="AP341" i="5"/>
  <c r="AL438" i="5"/>
  <c r="AK438" i="5"/>
  <c r="AK326" i="5"/>
  <c r="AL326" i="5"/>
  <c r="AL318" i="5"/>
  <c r="AK318" i="5"/>
  <c r="AL478" i="5"/>
  <c r="AK478" i="5"/>
  <c r="AP478" i="5"/>
  <c r="AL477" i="5"/>
  <c r="AK477" i="5"/>
  <c r="AK275" i="5"/>
  <c r="AL275" i="5"/>
  <c r="AP275" i="5"/>
  <c r="AK103" i="5"/>
  <c r="AL103" i="5"/>
  <c r="AL496" i="5"/>
  <c r="AK496" i="5"/>
  <c r="AP366" i="5"/>
  <c r="AK366" i="5"/>
  <c r="AL366" i="5"/>
  <c r="AK202" i="5"/>
  <c r="AL202" i="5"/>
  <c r="AK41" i="5"/>
  <c r="AL41" i="5"/>
  <c r="AP41" i="5"/>
  <c r="AK463" i="5"/>
  <c r="AL463" i="5"/>
  <c r="AL319" i="5"/>
  <c r="AK319" i="5"/>
  <c r="AP319" i="5"/>
  <c r="AL108" i="5"/>
  <c r="AK108" i="5"/>
  <c r="AP108" i="5"/>
  <c r="AL559" i="5"/>
  <c r="AK559" i="5"/>
  <c r="AP559" i="5"/>
  <c r="AK397" i="5"/>
  <c r="AL397" i="5"/>
  <c r="AL262" i="5"/>
  <c r="AK262" i="5"/>
  <c r="AK77" i="5"/>
  <c r="AL77" i="5"/>
  <c r="AK402" i="5"/>
  <c r="AL402" i="5"/>
  <c r="AK392" i="5"/>
  <c r="AL392" i="5"/>
  <c r="AK184" i="5"/>
  <c r="AL184" i="5"/>
  <c r="AL555" i="5"/>
  <c r="AP555" i="5"/>
  <c r="AK555" i="5"/>
  <c r="AL500" i="5"/>
  <c r="AP500" i="5"/>
  <c r="AK500" i="5"/>
  <c r="AK309" i="5"/>
  <c r="AP309" i="5"/>
  <c r="AL309" i="5"/>
  <c r="AL126" i="5"/>
  <c r="AK126" i="5"/>
  <c r="AK117" i="5"/>
  <c r="AL117" i="5"/>
  <c r="AK530" i="5"/>
  <c r="AL530" i="5"/>
  <c r="AK352" i="5"/>
  <c r="AL352" i="5"/>
  <c r="AP352" i="5"/>
  <c r="AK321" i="5"/>
  <c r="AL321" i="5"/>
  <c r="AK82" i="5"/>
  <c r="AL82" i="5"/>
  <c r="AL510" i="5"/>
  <c r="AK510" i="5"/>
  <c r="AK358" i="5"/>
  <c r="AL358" i="5"/>
  <c r="AP358" i="5"/>
  <c r="AL317" i="5"/>
  <c r="AK317" i="5"/>
  <c r="AP317" i="5"/>
  <c r="AL132" i="5"/>
  <c r="AP132" i="5"/>
  <c r="AK132" i="5"/>
  <c r="AL20" i="5"/>
  <c r="AK20" i="5"/>
  <c r="AL454" i="5"/>
  <c r="AK454" i="5"/>
  <c r="AK357" i="5"/>
  <c r="AL357" i="5"/>
  <c r="AP357" i="5"/>
  <c r="AL205" i="5"/>
  <c r="AK205" i="5"/>
  <c r="AK54" i="5"/>
  <c r="AL54" i="5"/>
  <c r="AP442" i="5"/>
  <c r="AK442" i="5"/>
  <c r="AL442" i="5"/>
  <c r="AK394" i="5"/>
  <c r="AL394" i="5"/>
  <c r="AL293" i="5"/>
  <c r="AK293" i="5"/>
  <c r="AP293" i="5"/>
  <c r="AK165" i="5"/>
  <c r="AL165" i="5"/>
  <c r="AL74" i="5"/>
  <c r="AP74" i="5"/>
  <c r="AK74" i="5"/>
  <c r="AL542" i="5"/>
  <c r="AK542" i="5"/>
  <c r="AK378" i="5"/>
  <c r="AL378" i="5"/>
  <c r="AL298" i="5"/>
  <c r="AK298" i="5"/>
  <c r="AP298" i="5"/>
  <c r="AK138" i="5"/>
  <c r="AL138" i="5"/>
  <c r="AK270" i="5"/>
  <c r="AL270" i="5"/>
  <c r="AL148" i="5"/>
  <c r="AK148" i="5"/>
  <c r="AK34" i="5"/>
  <c r="AL34" i="5"/>
  <c r="AP91" i="5"/>
  <c r="AK231" i="5"/>
  <c r="AL231" i="5"/>
  <c r="AP231" i="5"/>
  <c r="AP419" i="5"/>
  <c r="AP29" i="5"/>
  <c r="AP389" i="5"/>
  <c r="AP99" i="5"/>
  <c r="AK191" i="5"/>
  <c r="AL191" i="5"/>
  <c r="AP191" i="5"/>
  <c r="AO12" i="5"/>
  <c r="AN12" i="5"/>
  <c r="AP421" i="5"/>
  <c r="AP162" i="5"/>
  <c r="AK131" i="5"/>
  <c r="AL131" i="5"/>
  <c r="AK171" i="5"/>
  <c r="AP171" i="5"/>
  <c r="AL171" i="5"/>
  <c r="AL195" i="5"/>
  <c r="AK195" i="5"/>
  <c r="AP195" i="5"/>
  <c r="AK467" i="5"/>
  <c r="AL467" i="5"/>
  <c r="AP467" i="5"/>
  <c r="AK403" i="5"/>
  <c r="AL403" i="5"/>
  <c r="AP403" i="5"/>
  <c r="AL272" i="5"/>
  <c r="AK272" i="5"/>
  <c r="AP272" i="5"/>
  <c r="AL299" i="5"/>
  <c r="AK299" i="5"/>
  <c r="AK239" i="5"/>
  <c r="AL239" i="5"/>
  <c r="AM80" i="4"/>
  <c r="AN80" i="4" s="1"/>
  <c r="W80" i="4"/>
  <c r="Y80" i="4" s="1"/>
  <c r="Z80" i="4" s="1"/>
  <c r="AR306" i="5"/>
  <c r="AL291" i="5"/>
  <c r="AK291" i="5"/>
  <c r="AK487" i="5"/>
  <c r="AL487" i="5"/>
  <c r="AK515" i="5"/>
  <c r="AL515" i="5"/>
  <c r="AP515" i="5"/>
  <c r="X98" i="4"/>
  <c r="AP264" i="5"/>
  <c r="AM41" i="4"/>
  <c r="AN41" i="4" s="1"/>
  <c r="W41" i="4"/>
  <c r="Y41" i="4" s="1"/>
  <c r="Z41" i="4" s="1"/>
  <c r="AF41" i="4" s="1"/>
  <c r="AL163" i="5"/>
  <c r="AK163" i="5"/>
  <c r="AP163" i="5"/>
  <c r="AP97" i="5"/>
  <c r="AK507" i="5"/>
  <c r="AL507" i="5"/>
  <c r="AP507" i="5"/>
  <c r="AL524" i="5"/>
  <c r="AK524" i="5"/>
  <c r="AL210" i="5"/>
  <c r="AK210" i="5"/>
  <c r="AL522" i="5"/>
  <c r="AK522" i="5"/>
  <c r="AK410" i="5"/>
  <c r="AL410" i="5"/>
  <c r="AL302" i="5"/>
  <c r="AK302" i="5"/>
  <c r="AL67" i="5"/>
  <c r="AK67" i="5"/>
  <c r="AP67" i="5"/>
  <c r="AP425" i="5"/>
  <c r="AK425" i="5"/>
  <c r="AL425" i="5"/>
  <c r="AK426" i="5"/>
  <c r="AL426" i="5"/>
  <c r="AK142" i="5"/>
  <c r="AL142" i="5"/>
  <c r="AK529" i="5"/>
  <c r="AL529" i="5"/>
  <c r="AP529" i="5"/>
  <c r="AP537" i="5"/>
  <c r="AL537" i="5"/>
  <c r="AK537" i="5"/>
  <c r="AL190" i="5"/>
  <c r="AK190" i="5"/>
  <c r="AK161" i="5"/>
  <c r="AL161" i="5"/>
  <c r="AP161" i="5"/>
  <c r="AL544" i="5"/>
  <c r="AK544" i="5"/>
  <c r="AL259" i="5"/>
  <c r="AK259" i="5"/>
  <c r="AK206" i="5"/>
  <c r="AL206" i="5"/>
  <c r="AP206" i="5"/>
  <c r="AL53" i="5"/>
  <c r="AK53" i="5"/>
  <c r="AP53" i="5"/>
  <c r="AK499" i="5"/>
  <c r="AL499" i="5"/>
  <c r="AL337" i="5"/>
  <c r="AK337" i="5"/>
  <c r="AL139" i="5"/>
  <c r="AK139" i="5"/>
  <c r="AP139" i="5"/>
  <c r="AL551" i="5"/>
  <c r="AK551" i="5"/>
  <c r="AL440" i="5"/>
  <c r="AP440" i="5"/>
  <c r="AK440" i="5"/>
  <c r="AK331" i="5"/>
  <c r="AL331" i="5"/>
  <c r="AP331" i="5"/>
  <c r="AK94" i="5"/>
  <c r="AL94" i="5"/>
  <c r="AK93" i="5"/>
  <c r="AL93" i="5"/>
  <c r="AK404" i="5"/>
  <c r="AL404" i="5"/>
  <c r="AL372" i="5"/>
  <c r="AK372" i="5"/>
  <c r="AL232" i="5"/>
  <c r="AK232" i="5"/>
  <c r="AL57" i="5"/>
  <c r="AP57" i="5"/>
  <c r="AK57" i="5"/>
  <c r="AK436" i="5"/>
  <c r="AL436" i="5"/>
  <c r="AK274" i="5"/>
  <c r="AL274" i="5"/>
  <c r="AK278" i="5"/>
  <c r="AL278" i="5"/>
  <c r="AK158" i="5"/>
  <c r="AL158" i="5"/>
  <c r="AK22" i="5"/>
  <c r="AL22" i="5"/>
  <c r="AK484" i="5"/>
  <c r="AL484" i="5"/>
  <c r="AP484" i="5"/>
  <c r="AK282" i="5"/>
  <c r="AP282" i="5"/>
  <c r="AL282" i="5"/>
  <c r="AK170" i="5"/>
  <c r="AL170" i="5"/>
  <c r="AP170" i="5"/>
  <c r="AK45" i="5"/>
  <c r="AL45" i="5"/>
  <c r="AL417" i="5"/>
  <c r="AK417" i="5"/>
  <c r="AK349" i="5"/>
  <c r="AP349" i="5"/>
  <c r="AL349" i="5"/>
  <c r="AK257" i="5"/>
  <c r="AL257" i="5"/>
  <c r="AL186" i="5"/>
  <c r="AK186" i="5"/>
  <c r="AP186" i="5"/>
  <c r="AP50" i="5"/>
  <c r="AL50" i="5"/>
  <c r="AK50" i="5"/>
  <c r="AK517" i="5"/>
  <c r="AL517" i="5"/>
  <c r="AK342" i="5"/>
  <c r="AL342" i="5"/>
  <c r="AP342" i="5"/>
  <c r="AL218" i="5"/>
  <c r="AK218" i="5"/>
  <c r="AK101" i="5"/>
  <c r="AL101" i="5"/>
  <c r="AK213" i="5"/>
  <c r="AP213" i="5"/>
  <c r="AL213" i="5"/>
  <c r="AL188" i="5"/>
  <c r="AP188" i="5"/>
  <c r="AK188" i="5"/>
  <c r="AL33" i="5"/>
  <c r="AP33" i="5"/>
  <c r="AK33" i="5"/>
  <c r="AP31" i="5"/>
  <c r="AP499" i="5"/>
  <c r="AK281" i="5"/>
  <c r="AL281" i="5"/>
  <c r="AK120" i="5"/>
  <c r="AL120" i="5"/>
  <c r="AP120" i="5"/>
  <c r="AK159" i="5"/>
  <c r="AL159" i="5"/>
  <c r="AK383" i="5"/>
  <c r="AL383" i="5"/>
  <c r="AK533" i="5"/>
  <c r="AL533" i="5"/>
  <c r="AM81" i="4"/>
  <c r="AN81" i="4" s="1"/>
  <c r="W81" i="4"/>
  <c r="Y81" i="4" s="1"/>
  <c r="Z81" i="4" s="1"/>
  <c r="AP299" i="5"/>
  <c r="AP10" i="5" l="1"/>
  <c r="Z78" i="4"/>
  <c r="AF78" i="4" s="1"/>
  <c r="AM110" i="4"/>
  <c r="AN110" i="4" s="1"/>
  <c r="W85" i="4"/>
  <c r="Y85" i="4" s="1"/>
  <c r="Z85" i="4" s="1"/>
  <c r="W100" i="4"/>
  <c r="AN77" i="4"/>
  <c r="Z121" i="4"/>
  <c r="AQ273" i="5"/>
  <c r="AR189" i="5"/>
  <c r="AR166" i="5"/>
  <c r="AQ47" i="5"/>
  <c r="AQ48" i="5"/>
  <c r="AQ326" i="5"/>
  <c r="AR516" i="5"/>
  <c r="AR522" i="5"/>
  <c r="AR300" i="5"/>
  <c r="AR486" i="5"/>
  <c r="AR217" i="5"/>
  <c r="AQ141" i="5"/>
  <c r="AQ78" i="5"/>
  <c r="AQ335" i="5"/>
  <c r="AR382" i="5"/>
  <c r="AR118" i="5"/>
  <c r="AR512" i="5"/>
  <c r="AQ552" i="5"/>
  <c r="AR524" i="5"/>
  <c r="AR332" i="5"/>
  <c r="AQ497" i="5"/>
  <c r="AR238" i="5"/>
  <c r="AR237" i="5"/>
  <c r="AR354" i="5"/>
  <c r="AR245" i="5"/>
  <c r="AR521" i="5"/>
  <c r="AQ396" i="5"/>
  <c r="AR405" i="5"/>
  <c r="AQ218" i="5"/>
  <c r="AQ404" i="5"/>
  <c r="AQ93" i="5"/>
  <c r="AR494" i="5"/>
  <c r="AQ216" i="5"/>
  <c r="AQ178" i="5"/>
  <c r="AQ402" i="5"/>
  <c r="AR558" i="5"/>
  <c r="AQ38" i="5"/>
  <c r="AQ281" i="5"/>
  <c r="AQ159" i="5"/>
  <c r="AQ153" i="5"/>
  <c r="AQ234" i="5"/>
  <c r="AR175" i="5"/>
  <c r="AQ454" i="5"/>
  <c r="AQ528" i="5"/>
  <c r="AQ187" i="5"/>
  <c r="AR262" i="5"/>
  <c r="AR383" i="5"/>
  <c r="AR483" i="5"/>
  <c r="AQ127" i="5"/>
  <c r="AR64" i="5"/>
  <c r="AQ491" i="5"/>
  <c r="AQ250" i="5"/>
  <c r="AR365" i="5"/>
  <c r="AQ460" i="5"/>
  <c r="AQ112" i="5"/>
  <c r="AR437" i="5"/>
  <c r="AR371" i="5"/>
  <c r="AQ485" i="5"/>
  <c r="AQ287" i="5"/>
  <c r="AR492" i="5"/>
  <c r="AR338" i="5"/>
  <c r="AR470" i="5"/>
  <c r="AM11" i="4"/>
  <c r="AN11" i="4" s="1"/>
  <c r="W111" i="4"/>
  <c r="Y111" i="4" s="1"/>
  <c r="Z111" i="4" s="1"/>
  <c r="W49" i="4"/>
  <c r="Y49" i="4" s="1"/>
  <c r="W13" i="4"/>
  <c r="Y13" i="4" s="1"/>
  <c r="Z13" i="4" s="1"/>
  <c r="AF13" i="4" s="1"/>
  <c r="W32" i="4"/>
  <c r="Y32" i="4" s="1"/>
  <c r="W89" i="4"/>
  <c r="Y89" i="4" s="1"/>
  <c r="Z89" i="4" s="1"/>
  <c r="AF89" i="4" s="1"/>
  <c r="W123" i="4"/>
  <c r="Y123" i="4" s="1"/>
  <c r="Z123" i="4" s="1"/>
  <c r="AN118" i="4"/>
  <c r="W88" i="4"/>
  <c r="Y88" i="4" s="1"/>
  <c r="Z88" i="4" s="1"/>
  <c r="AF88" i="4" s="1"/>
  <c r="W93" i="4"/>
  <c r="AM97" i="4"/>
  <c r="AN97" i="4" s="1"/>
  <c r="Z36" i="4"/>
  <c r="AF36" i="4" s="1"/>
  <c r="AO36" i="4" s="1"/>
  <c r="W40" i="4"/>
  <c r="Y40" i="4" s="1"/>
  <c r="Z40" i="4" s="1"/>
  <c r="AF40" i="4" s="1"/>
  <c r="Z17" i="4"/>
  <c r="Z139" i="4"/>
  <c r="W9" i="4"/>
  <c r="Y9" i="4" s="1"/>
  <c r="Z9" i="4" s="1"/>
  <c r="AF9" i="4" s="1"/>
  <c r="AG9" i="4" s="1"/>
  <c r="AI9" i="4" s="1"/>
  <c r="W47" i="4"/>
  <c r="X47" i="4" s="1"/>
  <c r="AJ47" i="4" s="1"/>
  <c r="W74" i="4"/>
  <c r="Y74" i="4" s="1"/>
  <c r="Z74" i="4" s="1"/>
  <c r="AF74" i="4" s="1"/>
  <c r="W102" i="4"/>
  <c r="Y102" i="4" s="1"/>
  <c r="Z102" i="4" s="1"/>
  <c r="AF102" i="4" s="1"/>
  <c r="W60" i="4"/>
  <c r="Y60" i="4" s="1"/>
  <c r="Z60" i="4" s="1"/>
  <c r="AF60" i="4" s="1"/>
  <c r="AJ150" i="4"/>
  <c r="W29" i="4"/>
  <c r="Y29" i="4" s="1"/>
  <c r="Z29" i="4" s="1"/>
  <c r="Z31" i="4"/>
  <c r="AF31" i="4" s="1"/>
  <c r="AG31" i="4" s="1"/>
  <c r="AI31" i="4" s="1"/>
  <c r="W25" i="4"/>
  <c r="Y25" i="4" s="1"/>
  <c r="Z25" i="4" s="1"/>
  <c r="AF25" i="4" s="1"/>
  <c r="AO25" i="4" s="1"/>
  <c r="W146" i="4"/>
  <c r="Y146" i="4" s="1"/>
  <c r="Z146" i="4" s="1"/>
  <c r="AF146" i="4" s="1"/>
  <c r="AQ110" i="5"/>
  <c r="AQ544" i="5"/>
  <c r="AQ24" i="5"/>
  <c r="AQ345" i="5"/>
  <c r="AR312" i="5"/>
  <c r="Z16" i="4"/>
  <c r="AF16" i="4" s="1"/>
  <c r="W7" i="4"/>
  <c r="AE7" i="4" s="1"/>
  <c r="W76" i="4"/>
  <c r="X76" i="4" s="1"/>
  <c r="AJ76" i="4" s="1"/>
  <c r="W127" i="4"/>
  <c r="AE127" i="4" s="1"/>
  <c r="Z49" i="4"/>
  <c r="AM52" i="4"/>
  <c r="AN52" i="4" s="1"/>
  <c r="W18" i="4"/>
  <c r="Y18" i="4" s="1"/>
  <c r="Z18" i="4" s="1"/>
  <c r="AF18" i="4" s="1"/>
  <c r="Z75" i="4"/>
  <c r="AF75" i="4" s="1"/>
  <c r="AO75" i="4" s="1"/>
  <c r="Z97" i="4"/>
  <c r="AM70" i="4"/>
  <c r="AN70" i="4" s="1"/>
  <c r="W35" i="4"/>
  <c r="X35" i="4" s="1"/>
  <c r="AJ35" i="4" s="1"/>
  <c r="AR535" i="5"/>
  <c r="AQ476" i="5"/>
  <c r="AR517" i="5"/>
  <c r="AR406" i="5"/>
  <c r="AR498" i="5"/>
  <c r="AQ104" i="5"/>
  <c r="AR330" i="5"/>
  <c r="AQ79" i="5"/>
  <c r="AQ184" i="5"/>
  <c r="AR384" i="5"/>
  <c r="AR426" i="5"/>
  <c r="AQ30" i="5"/>
  <c r="AR165" i="5"/>
  <c r="AR34" i="5"/>
  <c r="AQ318" i="5"/>
  <c r="AQ87" i="5"/>
  <c r="AR260" i="5"/>
  <c r="AQ23" i="5"/>
  <c r="AR551" i="5"/>
  <c r="AQ444" i="5"/>
  <c r="AQ530" i="5"/>
  <c r="AR321" i="5"/>
  <c r="AQ158" i="5"/>
  <c r="AR417" i="5"/>
  <c r="AQ302" i="5"/>
  <c r="AR70" i="5"/>
  <c r="AQ211" i="5"/>
  <c r="AN105" i="4"/>
  <c r="AC546" i="5"/>
  <c r="AD546" i="5" s="1"/>
  <c r="AC523" i="5"/>
  <c r="AE523" i="5" s="1"/>
  <c r="AC459" i="5"/>
  <c r="AS459" i="5" s="1"/>
  <c r="AC206" i="5"/>
  <c r="AD206" i="5" s="1"/>
  <c r="AL9" i="5"/>
  <c r="Z87" i="4"/>
  <c r="AF87" i="4" s="1"/>
  <c r="AO87" i="4" s="1"/>
  <c r="AC379" i="5"/>
  <c r="AE379" i="5" s="1"/>
  <c r="AC392" i="5"/>
  <c r="AS392" i="5" s="1"/>
  <c r="AC371" i="5"/>
  <c r="AE371" i="5" s="1"/>
  <c r="AC522" i="5"/>
  <c r="AC512" i="5"/>
  <c r="AE512" i="5" s="1"/>
  <c r="AC429" i="5"/>
  <c r="AS429" i="5" s="1"/>
  <c r="Z117" i="4"/>
  <c r="AF117" i="4" s="1"/>
  <c r="AC160" i="5"/>
  <c r="AS160" i="5" s="1"/>
  <c r="AB288" i="5"/>
  <c r="AC234" i="5"/>
  <c r="AD234" i="5" s="1"/>
  <c r="AC525" i="5"/>
  <c r="AE525" i="5" s="1"/>
  <c r="AC426" i="5"/>
  <c r="AD426" i="5" s="1"/>
  <c r="AC534" i="5"/>
  <c r="AD534" i="5" s="1"/>
  <c r="AC432" i="5"/>
  <c r="AS432" i="5" s="1"/>
  <c r="AC221" i="5"/>
  <c r="AS221" i="5" s="1"/>
  <c r="AC121" i="5"/>
  <c r="AS121" i="5" s="1"/>
  <c r="AC537" i="5"/>
  <c r="AE537" i="5" s="1"/>
  <c r="V11" i="5"/>
  <c r="AC80" i="5"/>
  <c r="AS80" i="5" s="1"/>
  <c r="AC23" i="5"/>
  <c r="AD23" i="5" s="1"/>
  <c r="AC530" i="5"/>
  <c r="AD530" i="5" s="1"/>
  <c r="AC289" i="5"/>
  <c r="AD289" i="5" s="1"/>
  <c r="AC264" i="5"/>
  <c r="AE264" i="5" s="1"/>
  <c r="AC446" i="5"/>
  <c r="AD446" i="5" s="1"/>
  <c r="AC117" i="5"/>
  <c r="AS117" i="5" s="1"/>
  <c r="AC97" i="5"/>
  <c r="AD97" i="5" s="1"/>
  <c r="AC105" i="5"/>
  <c r="AE105" i="5" s="1"/>
  <c r="B35" i="2"/>
  <c r="AC376" i="5"/>
  <c r="AD376" i="5" s="1"/>
  <c r="AC508" i="5"/>
  <c r="AE508" i="5" s="1"/>
  <c r="AC184" i="5"/>
  <c r="AD184" i="5" s="1"/>
  <c r="AQ77" i="5"/>
  <c r="AQ457" i="5"/>
  <c r="AR493" i="5"/>
  <c r="AR117" i="5"/>
  <c r="AQ22" i="5"/>
  <c r="AR422" i="5"/>
  <c r="AR20" i="5"/>
  <c r="AR284" i="5"/>
  <c r="AQ360" i="5"/>
  <c r="AR138" i="5"/>
  <c r="AR447" i="5"/>
  <c r="AQ37" i="5"/>
  <c r="AQ142" i="5"/>
  <c r="AQ229" i="5"/>
  <c r="AR233" i="5"/>
  <c r="AR258" i="5"/>
  <c r="AQ525" i="5"/>
  <c r="AQ239" i="5"/>
  <c r="AQ276" i="5"/>
  <c r="AQ42" i="5"/>
  <c r="AQ54" i="5"/>
  <c r="AR144" i="5"/>
  <c r="AR364" i="5"/>
  <c r="AQ219" i="5"/>
  <c r="AR463" i="5"/>
  <c r="K29" i="2"/>
  <c r="K30" i="2" s="1"/>
  <c r="AC463" i="5"/>
  <c r="AE463" i="5" s="1"/>
  <c r="AA445" i="5"/>
  <c r="W37" i="4"/>
  <c r="X37" i="4" s="1"/>
  <c r="AJ37" i="4" s="1"/>
  <c r="AR462" i="5"/>
  <c r="AQ21" i="5"/>
  <c r="AR448" i="5"/>
  <c r="AQ488" i="5"/>
  <c r="AR126" i="5"/>
  <c r="AR495" i="5"/>
  <c r="AR131" i="5"/>
  <c r="R31" i="2"/>
  <c r="S31" i="2" s="1"/>
  <c r="Q31" i="2"/>
  <c r="P31" i="2" s="1"/>
  <c r="AR378" i="5"/>
  <c r="AR255" i="5"/>
  <c r="AQ542" i="5"/>
  <c r="AR194" i="5"/>
  <c r="AQ190" i="5"/>
  <c r="AQ370" i="5"/>
  <c r="AN98" i="4"/>
  <c r="AQ257" i="5"/>
  <c r="AA97" i="5"/>
  <c r="AR368" i="5"/>
  <c r="AR45" i="5"/>
  <c r="AR232" i="5"/>
  <c r="AQ545" i="5"/>
  <c r="AR82" i="5"/>
  <c r="AR56" i="5"/>
  <c r="AM117" i="4"/>
  <c r="AN117" i="4" s="1"/>
  <c r="W46" i="4"/>
  <c r="Y46" i="4" s="1"/>
  <c r="Z46" i="4" s="1"/>
  <c r="AF46" i="4" s="1"/>
  <c r="AG46" i="4" s="1"/>
  <c r="AI46" i="4" s="1"/>
  <c r="W145" i="4"/>
  <c r="Y145" i="4" s="1"/>
  <c r="Z145" i="4" s="1"/>
  <c r="AF145" i="4" s="1"/>
  <c r="AA297" i="5"/>
  <c r="AB261" i="5"/>
  <c r="AA363" i="5"/>
  <c r="AC520" i="5"/>
  <c r="AS520" i="5" s="1"/>
  <c r="AC359" i="5"/>
  <c r="AD359" i="5" s="1"/>
  <c r="AB80" i="5"/>
  <c r="AC386" i="5"/>
  <c r="AS386" i="5" s="1"/>
  <c r="AA265" i="5"/>
  <c r="AB447" i="5"/>
  <c r="AB19" i="5"/>
  <c r="AB247" i="5"/>
  <c r="AB208" i="5"/>
  <c r="AE18" i="4"/>
  <c r="AB532" i="5"/>
  <c r="X18" i="4"/>
  <c r="AJ18" i="4" s="1"/>
  <c r="AB217" i="5"/>
  <c r="AA27" i="5"/>
  <c r="W20" i="4"/>
  <c r="X20" i="4" s="1"/>
  <c r="AJ20" i="4" s="1"/>
  <c r="AA7" i="5"/>
  <c r="AC265" i="5"/>
  <c r="AE265" i="5" s="1"/>
  <c r="AC540" i="5"/>
  <c r="AE540" i="5" s="1"/>
  <c r="AB529" i="5"/>
  <c r="AA540" i="5"/>
  <c r="AB560" i="5"/>
  <c r="AC470" i="5"/>
  <c r="AE470" i="5" s="1"/>
  <c r="AC460" i="5"/>
  <c r="AS460" i="5" s="1"/>
  <c r="AC138" i="5"/>
  <c r="AE138" i="5" s="1"/>
  <c r="AA550" i="5"/>
  <c r="AB293" i="5"/>
  <c r="AA551" i="5"/>
  <c r="Z115" i="4"/>
  <c r="AF115" i="4" s="1"/>
  <c r="AC31" i="5"/>
  <c r="AE31" i="5" s="1"/>
  <c r="AA26" i="5"/>
  <c r="AM16" i="4"/>
  <c r="AN16" i="4" s="1"/>
  <c r="AB301" i="5"/>
  <c r="AA283" i="5"/>
  <c r="AB254" i="5"/>
  <c r="AA116" i="5"/>
  <c r="AA405" i="5"/>
  <c r="AA142" i="5"/>
  <c r="AB150" i="5"/>
  <c r="AJ157" i="4"/>
  <c r="AM128" i="4"/>
  <c r="AN128" i="4" s="1"/>
  <c r="Z43" i="4"/>
  <c r="AF43" i="4" s="1"/>
  <c r="AO43" i="4" s="1"/>
  <c r="AB169" i="5"/>
  <c r="AB379" i="5"/>
  <c r="AB42" i="5"/>
  <c r="AB196" i="5"/>
  <c r="AB403" i="5"/>
  <c r="AB487" i="5"/>
  <c r="AB189" i="5"/>
  <c r="AA36" i="5"/>
  <c r="AA502" i="5"/>
  <c r="AB537" i="5"/>
  <c r="AA514" i="5"/>
  <c r="AB121" i="5"/>
  <c r="AB151" i="5"/>
  <c r="AA106" i="5"/>
  <c r="AA48" i="5"/>
  <c r="AA53" i="5"/>
  <c r="AM134" i="4"/>
  <c r="AN134" i="4" s="1"/>
  <c r="AA523" i="5"/>
  <c r="AB335" i="5"/>
  <c r="AB390" i="5"/>
  <c r="AA63" i="5"/>
  <c r="AB93" i="5"/>
  <c r="W61" i="4"/>
  <c r="Y61" i="4" s="1"/>
  <c r="Z61" i="4" s="1"/>
  <c r="AF61" i="4" s="1"/>
  <c r="AG61" i="4" s="1"/>
  <c r="AI61" i="4" s="1"/>
  <c r="AB262" i="5"/>
  <c r="AA90" i="5"/>
  <c r="AC277" i="5"/>
  <c r="AE277" i="5" s="1"/>
  <c r="AC306" i="5"/>
  <c r="AE306" i="5" s="1"/>
  <c r="AC38" i="5"/>
  <c r="AS38" i="5" s="1"/>
  <c r="AA263" i="5"/>
  <c r="AB235" i="5"/>
  <c r="AA343" i="5"/>
  <c r="AM56" i="4"/>
  <c r="AN56" i="4" s="1"/>
  <c r="AB331" i="5"/>
  <c r="W15" i="4"/>
  <c r="Y15" i="4" s="1"/>
  <c r="Z15" i="4" s="1"/>
  <c r="AF15" i="4" s="1"/>
  <c r="AA256" i="5"/>
  <c r="AB498" i="5"/>
  <c r="AB298" i="5"/>
  <c r="AC208" i="5"/>
  <c r="AS208" i="5" s="1"/>
  <c r="AC365" i="5"/>
  <c r="AS365" i="5" s="1"/>
  <c r="AC280" i="5"/>
  <c r="AS280" i="5" s="1"/>
  <c r="AC353" i="5"/>
  <c r="AE353" i="5" s="1"/>
  <c r="AC213" i="5"/>
  <c r="AD213" i="5" s="1"/>
  <c r="AC194" i="5"/>
  <c r="AE194" i="5" s="1"/>
  <c r="AA289" i="5"/>
  <c r="AA462" i="5"/>
  <c r="AB202" i="5"/>
  <c r="AA213" i="5"/>
  <c r="AC42" i="5"/>
  <c r="AD42" i="5" s="1"/>
  <c r="AC216" i="5"/>
  <c r="AS216" i="5" s="1"/>
  <c r="AC325" i="5"/>
  <c r="AE325" i="5" s="1"/>
  <c r="AB179" i="5"/>
  <c r="AA495" i="5"/>
  <c r="AC417" i="5"/>
  <c r="AS417" i="5" s="1"/>
  <c r="AC451" i="5"/>
  <c r="AE451" i="5" s="1"/>
  <c r="AC332" i="5"/>
  <c r="AS332" i="5" s="1"/>
  <c r="AB356" i="5"/>
  <c r="AB371" i="5"/>
  <c r="AB359" i="5"/>
  <c r="AB522" i="5"/>
  <c r="AB161" i="5"/>
  <c r="AB309" i="5"/>
  <c r="AA424" i="5"/>
  <c r="AA244" i="5"/>
  <c r="AC361" i="5"/>
  <c r="AE361" i="5" s="1"/>
  <c r="AC425" i="5"/>
  <c r="AD425" i="5" s="1"/>
  <c r="AC297" i="5"/>
  <c r="AD297" i="5" s="1"/>
  <c r="AC333" i="5"/>
  <c r="AS333" i="5" s="1"/>
  <c r="AC244" i="5"/>
  <c r="AE244" i="5" s="1"/>
  <c r="AC532" i="5"/>
  <c r="AD532" i="5" s="1"/>
  <c r="AC552" i="5"/>
  <c r="AD552" i="5" s="1"/>
  <c r="AC294" i="5"/>
  <c r="AS294" i="5" s="1"/>
  <c r="AA442" i="5"/>
  <c r="AA194" i="5"/>
  <c r="AA428" i="5"/>
  <c r="AA333" i="5"/>
  <c r="AC76" i="5"/>
  <c r="AD76" i="5" s="1"/>
  <c r="AC500" i="5"/>
  <c r="AS500" i="5" s="1"/>
  <c r="AC298" i="5"/>
  <c r="AS298" i="5" s="1"/>
  <c r="AC197" i="5"/>
  <c r="AE197" i="5" s="1"/>
  <c r="AC261" i="5"/>
  <c r="AS261" i="5" s="1"/>
  <c r="AA494" i="5"/>
  <c r="AA251" i="5"/>
  <c r="AB25" i="5"/>
  <c r="AB417" i="5"/>
  <c r="AC483" i="5"/>
  <c r="AD483" i="5" s="1"/>
  <c r="AC517" i="5"/>
  <c r="AD517" i="5" s="1"/>
  <c r="AC148" i="5"/>
  <c r="AD148" i="5" s="1"/>
  <c r="AC363" i="5"/>
  <c r="AE363" i="5" s="1"/>
  <c r="AC462" i="5"/>
  <c r="AD462" i="5" s="1"/>
  <c r="AC46" i="5"/>
  <c r="AE46" i="5" s="1"/>
  <c r="AC54" i="5"/>
  <c r="AS54" i="5" s="1"/>
  <c r="AU54" i="5" s="1"/>
  <c r="AC356" i="5"/>
  <c r="AS356" i="5" s="1"/>
  <c r="AC279" i="5"/>
  <c r="AS279" i="5" s="1"/>
  <c r="AC25" i="5"/>
  <c r="AD25" i="5" s="1"/>
  <c r="AB332" i="5"/>
  <c r="AA276" i="5"/>
  <c r="AC495" i="5"/>
  <c r="AS495" i="5" s="1"/>
  <c r="AC309" i="5"/>
  <c r="AD309" i="5" s="1"/>
  <c r="AC494" i="5"/>
  <c r="AD494" i="5" s="1"/>
  <c r="AC314" i="5"/>
  <c r="AD314" i="5" s="1"/>
  <c r="AC422" i="5"/>
  <c r="AS422" i="5" s="1"/>
  <c r="AC202" i="5"/>
  <c r="AS202" i="5" s="1"/>
  <c r="AU202" i="5" s="1"/>
  <c r="AC518" i="5"/>
  <c r="AE518" i="5" s="1"/>
  <c r="AC248" i="5"/>
  <c r="AD248" i="5" s="1"/>
  <c r="AB469" i="5"/>
  <c r="AA221" i="5"/>
  <c r="AB421" i="5"/>
  <c r="AB327" i="5"/>
  <c r="AA475" i="5"/>
  <c r="AB220" i="5"/>
  <c r="AB463" i="5"/>
  <c r="AC478" i="5"/>
  <c r="AE478" i="5" s="1"/>
  <c r="AC366" i="5"/>
  <c r="AE366" i="5" s="1"/>
  <c r="AC327" i="5"/>
  <c r="AE327" i="5" s="1"/>
  <c r="AM43" i="4"/>
  <c r="AN43" i="4" s="1"/>
  <c r="AC180" i="5"/>
  <c r="AS180" i="5" s="1"/>
  <c r="AA149" i="5"/>
  <c r="AB426" i="5"/>
  <c r="AB274" i="5"/>
  <c r="W142" i="4"/>
  <c r="Y142" i="4" s="1"/>
  <c r="Z142" i="4" s="1"/>
  <c r="AB366" i="5"/>
  <c r="AA304" i="5"/>
  <c r="AB94" i="5"/>
  <c r="W57" i="4"/>
  <c r="Y57" i="4" s="1"/>
  <c r="Z57" i="4" s="1"/>
  <c r="AF57" i="4" s="1"/>
  <c r="AC469" i="5"/>
  <c r="AE469" i="5" s="1"/>
  <c r="AC241" i="5"/>
  <c r="AS241" i="5" s="1"/>
  <c r="AC142" i="5"/>
  <c r="AS142" i="5" s="1"/>
  <c r="AC237" i="5"/>
  <c r="AS237" i="5" s="1"/>
  <c r="AC283" i="5"/>
  <c r="AE283" i="5" s="1"/>
  <c r="AC304" i="5"/>
  <c r="AS304" i="5" s="1"/>
  <c r="AC477" i="5"/>
  <c r="AD477" i="5" s="1"/>
  <c r="AB416" i="5"/>
  <c r="AA539" i="5"/>
  <c r="AC267" i="5"/>
  <c r="AE267" i="5" s="1"/>
  <c r="AC220" i="5"/>
  <c r="AD220" i="5" s="1"/>
  <c r="AC482" i="5"/>
  <c r="AS482" i="5" s="1"/>
  <c r="AC122" i="5"/>
  <c r="AD122" i="5" s="1"/>
  <c r="AC22" i="5"/>
  <c r="AD22" i="5" s="1"/>
  <c r="AB133" i="5"/>
  <c r="AA59" i="5"/>
  <c r="AB429" i="5"/>
  <c r="AC341" i="5"/>
  <c r="AS341" i="5" s="1"/>
  <c r="AC101" i="5"/>
  <c r="AS101" i="5" s="1"/>
  <c r="AC374" i="5"/>
  <c r="AE374" i="5" s="1"/>
  <c r="AC165" i="5"/>
  <c r="AS165" i="5" s="1"/>
  <c r="AC504" i="5"/>
  <c r="AE504" i="5" s="1"/>
  <c r="AB351" i="5"/>
  <c r="AC405" i="5"/>
  <c r="AD405" i="5" s="1"/>
  <c r="AC26" i="5"/>
  <c r="AE26" i="5" s="1"/>
  <c r="AC416" i="5"/>
  <c r="AD416" i="5" s="1"/>
  <c r="AC150" i="5"/>
  <c r="AE150" i="5" s="1"/>
  <c r="AA241" i="5"/>
  <c r="AC351" i="5"/>
  <c r="AD351" i="5" s="1"/>
  <c r="AC551" i="5"/>
  <c r="AD551" i="5" s="1"/>
  <c r="AC94" i="5"/>
  <c r="AE94" i="5" s="1"/>
  <c r="AC476" i="5"/>
  <c r="AD476" i="5" s="1"/>
  <c r="AC254" i="5"/>
  <c r="AS254" i="5" s="1"/>
  <c r="AC133" i="5"/>
  <c r="AS133" i="5" s="1"/>
  <c r="AC274" i="5"/>
  <c r="AS274" i="5" s="1"/>
  <c r="AC301" i="5"/>
  <c r="AE301" i="5" s="1"/>
  <c r="AC421" i="5"/>
  <c r="AE421" i="5" s="1"/>
  <c r="AC116" i="5"/>
  <c r="AE116" i="5" s="1"/>
  <c r="AC475" i="5"/>
  <c r="AE475" i="5" s="1"/>
  <c r="AC438" i="5"/>
  <c r="AE438" i="5" s="1"/>
  <c r="AA260" i="5"/>
  <c r="AB546" i="5"/>
  <c r="AB545" i="5"/>
  <c r="AC222" i="5"/>
  <c r="AD222" i="5" s="1"/>
  <c r="AC434" i="5"/>
  <c r="AS434" i="5" s="1"/>
  <c r="AC158" i="5"/>
  <c r="AE158" i="5" s="1"/>
  <c r="AC360" i="5"/>
  <c r="AE360" i="5" s="1"/>
  <c r="AC496" i="5"/>
  <c r="AD496" i="5" s="1"/>
  <c r="AC232" i="5"/>
  <c r="AS232" i="5" s="1"/>
  <c r="AA222" i="5"/>
  <c r="AB132" i="5"/>
  <c r="AB360" i="5"/>
  <c r="AA137" i="5"/>
  <c r="AB368" i="5"/>
  <c r="AB174" i="5"/>
  <c r="AC50" i="5"/>
  <c r="AE50" i="5" s="1"/>
  <c r="AC200" i="5"/>
  <c r="AD200" i="5" s="1"/>
  <c r="AC132" i="5"/>
  <c r="AE132" i="5" s="1"/>
  <c r="AB278" i="5"/>
  <c r="AC59" i="5"/>
  <c r="AS59" i="5" s="1"/>
  <c r="AA376" i="5"/>
  <c r="AB31" i="5"/>
  <c r="AA499" i="5"/>
  <c r="W125" i="4"/>
  <c r="Y125" i="4" s="1"/>
  <c r="Z125" i="4" s="1"/>
  <c r="W14" i="4"/>
  <c r="Y14" i="4" s="1"/>
  <c r="Z14" i="4" s="1"/>
  <c r="AC174" i="5"/>
  <c r="AE174" i="5" s="1"/>
  <c r="AC238" i="5"/>
  <c r="AE238" i="5" s="1"/>
  <c r="AC137" i="5"/>
  <c r="AD137" i="5" s="1"/>
  <c r="AC114" i="5"/>
  <c r="AE114" i="5" s="1"/>
  <c r="AC354" i="5"/>
  <c r="AD354" i="5" s="1"/>
  <c r="AC168" i="5"/>
  <c r="AE168" i="5" s="1"/>
  <c r="AA168" i="5"/>
  <c r="AA50" i="5"/>
  <c r="AA114" i="5"/>
  <c r="AA438" i="5"/>
  <c r="AC58" i="5"/>
  <c r="AD58" i="5" s="1"/>
  <c r="AC120" i="5"/>
  <c r="AD120" i="5" s="1"/>
  <c r="AC140" i="5"/>
  <c r="AD140" i="5" s="1"/>
  <c r="AA543" i="5"/>
  <c r="AB354" i="5"/>
  <c r="AA160" i="5"/>
  <c r="AB452" i="5"/>
  <c r="AB259" i="5"/>
  <c r="AA140" i="5"/>
  <c r="AC278" i="5"/>
  <c r="AS278" i="5" s="1"/>
  <c r="AU278" i="5" s="1"/>
  <c r="AC556" i="5"/>
  <c r="AE556" i="5" s="1"/>
  <c r="AC259" i="5"/>
  <c r="AE259" i="5" s="1"/>
  <c r="AC295" i="5"/>
  <c r="AE295" i="5" s="1"/>
  <c r="AC479" i="5"/>
  <c r="AS479" i="5" s="1"/>
  <c r="AC68" i="5"/>
  <c r="AD68" i="5" s="1"/>
  <c r="AC262" i="5"/>
  <c r="AS262" i="5" s="1"/>
  <c r="AC21" i="5"/>
  <c r="AE21" i="5" s="1"/>
  <c r="AC260" i="5"/>
  <c r="AS260" i="5" s="1"/>
  <c r="AC511" i="5"/>
  <c r="AE511" i="5" s="1"/>
  <c r="AC65" i="5"/>
  <c r="AD65" i="5" s="1"/>
  <c r="AC343" i="5"/>
  <c r="AS343" i="5" s="1"/>
  <c r="AC243" i="5"/>
  <c r="AD243" i="5" s="1"/>
  <c r="AC73" i="5"/>
  <c r="AE73" i="5" s="1"/>
  <c r="AC502" i="5"/>
  <c r="AD502" i="5" s="1"/>
  <c r="AC543" i="5"/>
  <c r="AS543" i="5" s="1"/>
  <c r="AC440" i="5"/>
  <c r="AE440" i="5" s="1"/>
  <c r="AC452" i="5"/>
  <c r="AE452" i="5" s="1"/>
  <c r="AC499" i="5"/>
  <c r="AS499" i="5" s="1"/>
  <c r="AC36" i="5"/>
  <c r="AD36" i="5" s="1"/>
  <c r="AB49" i="5"/>
  <c r="AC155" i="5"/>
  <c r="AE155" i="5" s="1"/>
  <c r="AC217" i="5"/>
  <c r="AE217" i="5" s="1"/>
  <c r="AC188" i="5"/>
  <c r="AD188" i="5" s="1"/>
  <c r="AC390" i="5"/>
  <c r="AD390" i="5" s="1"/>
  <c r="AC226" i="5"/>
  <c r="AE226" i="5" s="1"/>
  <c r="AC173" i="5"/>
  <c r="AS173" i="5" s="1"/>
  <c r="AC106" i="5"/>
  <c r="AD106" i="5" s="1"/>
  <c r="AC514" i="5"/>
  <c r="AE514" i="5" s="1"/>
  <c r="AC27" i="5"/>
  <c r="AE27" i="5" s="1"/>
  <c r="AC40" i="5"/>
  <c r="AS40" i="5" s="1"/>
  <c r="AC223" i="5"/>
  <c r="AS223" i="5" s="1"/>
  <c r="AC181" i="5"/>
  <c r="AS181" i="5" s="1"/>
  <c r="AC151" i="5"/>
  <c r="AS151" i="5" s="1"/>
  <c r="AC399" i="5"/>
  <c r="AS399" i="5" s="1"/>
  <c r="AC310" i="5"/>
  <c r="AE310" i="5" s="1"/>
  <c r="AC345" i="5"/>
  <c r="AE345" i="5" s="1"/>
  <c r="AC505" i="5"/>
  <c r="AD505" i="5" s="1"/>
  <c r="AA223" i="5"/>
  <c r="AA188" i="5"/>
  <c r="AB431" i="5"/>
  <c r="AB181" i="5"/>
  <c r="AA275" i="5"/>
  <c r="AC127" i="5"/>
  <c r="AS127" i="5" s="1"/>
  <c r="AU127" i="5" s="1"/>
  <c r="AC136" i="5"/>
  <c r="AS136" i="5" s="1"/>
  <c r="AC126" i="5"/>
  <c r="AE126" i="5" s="1"/>
  <c r="AC544" i="5"/>
  <c r="AS544" i="5" s="1"/>
  <c r="AC48" i="5"/>
  <c r="AE48" i="5" s="1"/>
  <c r="AC275" i="5"/>
  <c r="AS275" i="5" s="1"/>
  <c r="AC112" i="5"/>
  <c r="AS112" i="5" s="1"/>
  <c r="AC473" i="5"/>
  <c r="AD473" i="5" s="1"/>
  <c r="AC143" i="5"/>
  <c r="AD143" i="5" s="1"/>
  <c r="AC104" i="5"/>
  <c r="AE104" i="5" s="1"/>
  <c r="AA544" i="5"/>
  <c r="AA119" i="5"/>
  <c r="AB166" i="5"/>
  <c r="AC335" i="5"/>
  <c r="AE335" i="5" s="1"/>
  <c r="AC245" i="5"/>
  <c r="AE245" i="5" s="1"/>
  <c r="AC214" i="5"/>
  <c r="AD214" i="5" s="1"/>
  <c r="AC342" i="5"/>
  <c r="AS342" i="5" s="1"/>
  <c r="AB226" i="5"/>
  <c r="AB112" i="5"/>
  <c r="AB430" i="5"/>
  <c r="AC349" i="5"/>
  <c r="AD349" i="5" s="1"/>
  <c r="AC383" i="5"/>
  <c r="AE383" i="5" s="1"/>
  <c r="AC466" i="5"/>
  <c r="AE466" i="5" s="1"/>
  <c r="AC119" i="5"/>
  <c r="AE119" i="5" s="1"/>
  <c r="AC12" i="5"/>
  <c r="AD12" i="5" s="1"/>
  <c r="AB103" i="5"/>
  <c r="AC350" i="5"/>
  <c r="AE350" i="5" s="1"/>
  <c r="AC24" i="5"/>
  <c r="AD24" i="5" s="1"/>
  <c r="AC378" i="5"/>
  <c r="AD378" i="5" s="1"/>
  <c r="AC492" i="5"/>
  <c r="AE492" i="5" s="1"/>
  <c r="AC210" i="5"/>
  <c r="AD210" i="5" s="1"/>
  <c r="AA303" i="5"/>
  <c r="AB91" i="5"/>
  <c r="W66" i="4"/>
  <c r="Y66" i="4" s="1"/>
  <c r="Z66" i="4" s="1"/>
  <c r="AC111" i="5"/>
  <c r="AD111" i="5" s="1"/>
  <c r="AC239" i="5"/>
  <c r="AE239" i="5" s="1"/>
  <c r="AC32" i="5"/>
  <c r="AE32" i="5" s="1"/>
  <c r="AA64" i="5"/>
  <c r="AA387" i="5"/>
  <c r="AC55" i="5"/>
  <c r="AE55" i="5" s="1"/>
  <c r="AC77" i="5"/>
  <c r="AE77" i="5" s="1"/>
  <c r="AC113" i="5"/>
  <c r="AD113" i="5" s="1"/>
  <c r="AC369" i="5"/>
  <c r="AE369" i="5" s="1"/>
  <c r="AA404" i="5"/>
  <c r="AB86" i="5"/>
  <c r="AA55" i="5"/>
  <c r="AB203" i="5"/>
  <c r="AC269" i="5"/>
  <c r="AS269" i="5" s="1"/>
  <c r="AC468" i="5"/>
  <c r="AD468" i="5" s="1"/>
  <c r="AB436" i="5"/>
  <c r="AA32" i="5"/>
  <c r="AA111" i="5"/>
  <c r="AC303" i="5"/>
  <c r="AS303" i="5" s="1"/>
  <c r="AC49" i="5"/>
  <c r="AD49" i="5" s="1"/>
  <c r="AC103" i="5"/>
  <c r="AD103" i="5" s="1"/>
  <c r="AC404" i="5"/>
  <c r="AD404" i="5" s="1"/>
  <c r="AA321" i="5"/>
  <c r="AC166" i="5"/>
  <c r="AD166" i="5" s="1"/>
  <c r="AB105" i="5"/>
  <c r="AA296" i="5"/>
  <c r="AA175" i="5"/>
  <c r="AC441" i="5"/>
  <c r="AE441" i="5" s="1"/>
  <c r="AC62" i="5"/>
  <c r="AD62" i="5" s="1"/>
  <c r="AC536" i="5"/>
  <c r="AS536" i="5" s="1"/>
  <c r="AC83" i="5"/>
  <c r="AS83" i="5" s="1"/>
  <c r="AC75" i="5"/>
  <c r="AD75" i="5" s="1"/>
  <c r="AC385" i="5"/>
  <c r="AE385" i="5" s="1"/>
  <c r="AA375" i="5"/>
  <c r="AA329" i="5"/>
  <c r="AA336" i="5"/>
  <c r="AA402" i="5"/>
  <c r="AB401" i="5"/>
  <c r="AA441" i="5"/>
  <c r="AB525" i="5"/>
  <c r="AC515" i="5"/>
  <c r="AS515" i="5" s="1"/>
  <c r="AC189" i="5"/>
  <c r="AS189" i="5" s="1"/>
  <c r="AC313" i="5"/>
  <c r="AD313" i="5" s="1"/>
  <c r="AC203" i="5"/>
  <c r="AS203" i="5" s="1"/>
  <c r="AC472" i="5"/>
  <c r="AE472" i="5" s="1"/>
  <c r="AC186" i="5"/>
  <c r="AD186" i="5" s="1"/>
  <c r="AC134" i="5"/>
  <c r="AE134" i="5" s="1"/>
  <c r="AB396" i="5"/>
  <c r="AA236" i="5"/>
  <c r="AA313" i="5"/>
  <c r="AA205" i="5"/>
  <c r="AB472" i="5"/>
  <c r="AB453" i="5"/>
  <c r="AC403" i="5"/>
  <c r="AD403" i="5" s="1"/>
  <c r="AC541" i="5"/>
  <c r="AD541" i="5" s="1"/>
  <c r="AC300" i="5"/>
  <c r="AD300" i="5" s="1"/>
  <c r="AC34" i="5"/>
  <c r="AS34" i="5" s="1"/>
  <c r="AC44" i="5"/>
  <c r="AD44" i="5" s="1"/>
  <c r="AA62" i="5"/>
  <c r="AA392" i="5"/>
  <c r="AC401" i="5"/>
  <c r="AE401" i="5" s="1"/>
  <c r="AC229" i="5"/>
  <c r="AD229" i="5" s="1"/>
  <c r="AC427" i="5"/>
  <c r="AS427" i="5" s="1"/>
  <c r="AB456" i="5"/>
  <c r="AB171" i="5"/>
  <c r="Y73" i="4"/>
  <c r="Z73" i="4" s="1"/>
  <c r="AA73" i="4" s="1"/>
  <c r="AC73" i="4" s="1"/>
  <c r="AD73" i="4" s="1"/>
  <c r="AC455" i="5"/>
  <c r="AD455" i="5" s="1"/>
  <c r="AC456" i="5"/>
  <c r="AS456" i="5" s="1"/>
  <c r="AC205" i="5"/>
  <c r="AD205" i="5" s="1"/>
  <c r="AC218" i="5"/>
  <c r="AE218" i="5" s="1"/>
  <c r="AC395" i="5"/>
  <c r="AS395" i="5" s="1"/>
  <c r="AC128" i="5"/>
  <c r="AD128" i="5" s="1"/>
  <c r="AC375" i="5"/>
  <c r="AD375" i="5" s="1"/>
  <c r="AE73" i="4"/>
  <c r="AA455" i="5"/>
  <c r="AA60" i="5"/>
  <c r="AB8" i="5"/>
  <c r="AA382" i="5"/>
  <c r="AC329" i="5"/>
  <c r="AS329" i="5" s="1"/>
  <c r="AC302" i="5"/>
  <c r="AE302" i="5" s="1"/>
  <c r="AC171" i="5"/>
  <c r="AS171" i="5" s="1"/>
  <c r="AC450" i="5"/>
  <c r="AS450" i="5" s="1"/>
  <c r="AC336" i="5"/>
  <c r="AD336" i="5" s="1"/>
  <c r="AC60" i="5"/>
  <c r="AD60" i="5" s="1"/>
  <c r="AC381" i="5"/>
  <c r="AS381" i="5" s="1"/>
  <c r="AC236" i="5"/>
  <c r="AE236" i="5" s="1"/>
  <c r="AC402" i="5"/>
  <c r="AD402" i="5" s="1"/>
  <c r="AC145" i="5"/>
  <c r="AD145" i="5" s="1"/>
  <c r="AC433" i="5"/>
  <c r="AS433" i="5" s="1"/>
  <c r="AC453" i="5"/>
  <c r="AE453" i="5" s="1"/>
  <c r="AC382" i="5"/>
  <c r="AD382" i="5" s="1"/>
  <c r="W135" i="4"/>
  <c r="Y135" i="4" s="1"/>
  <c r="Z135" i="4" s="1"/>
  <c r="AN11" i="5"/>
  <c r="AC125" i="5"/>
  <c r="AS125" i="5" s="1"/>
  <c r="AC513" i="5"/>
  <c r="AE513" i="5" s="1"/>
  <c r="AC377" i="5"/>
  <c r="AD377" i="5" s="1"/>
  <c r="AC29" i="5"/>
  <c r="AE29" i="5" s="1"/>
  <c r="AC129" i="5"/>
  <c r="AD129" i="5" s="1"/>
  <c r="AC69" i="5"/>
  <c r="AS69" i="5" s="1"/>
  <c r="AC193" i="5"/>
  <c r="AE193" i="5" s="1"/>
  <c r="AC486" i="5"/>
  <c r="AE486" i="5" s="1"/>
  <c r="AC398" i="5"/>
  <c r="AE398" i="5" s="1"/>
  <c r="AA294" i="5"/>
  <c r="AA69" i="5"/>
  <c r="AA486" i="5"/>
  <c r="AA70" i="5"/>
  <c r="AA548" i="5"/>
  <c r="AC70" i="5"/>
  <c r="AS70" i="5" s="1"/>
  <c r="AC251" i="5"/>
  <c r="AS251" i="5" s="1"/>
  <c r="AC228" i="5"/>
  <c r="AE228" i="5" s="1"/>
  <c r="AC285" i="5"/>
  <c r="AD285" i="5" s="1"/>
  <c r="AC110" i="5"/>
  <c r="AE110" i="5" s="1"/>
  <c r="AC43" i="5"/>
  <c r="AS43" i="5" s="1"/>
  <c r="AB400" i="5"/>
  <c r="AB533" i="5"/>
  <c r="AB513" i="5"/>
  <c r="AB509" i="5"/>
  <c r="AB228" i="5"/>
  <c r="AA29" i="5"/>
  <c r="AM33" i="4"/>
  <c r="AN33" i="4" s="1"/>
  <c r="AC179" i="5"/>
  <c r="AE179" i="5" s="1"/>
  <c r="AC394" i="5"/>
  <c r="AD394" i="5" s="1"/>
  <c r="AC481" i="5"/>
  <c r="AS481" i="5" s="1"/>
  <c r="AC533" i="5"/>
  <c r="AD533" i="5" s="1"/>
  <c r="AC424" i="5"/>
  <c r="AS424" i="5" s="1"/>
  <c r="AC268" i="5"/>
  <c r="AS268" i="5" s="1"/>
  <c r="AC270" i="5"/>
  <c r="AE270" i="5" s="1"/>
  <c r="AB255" i="5"/>
  <c r="AA129" i="5"/>
  <c r="AA394" i="5"/>
  <c r="AB270" i="5"/>
  <c r="AB425" i="5"/>
  <c r="AB491" i="5"/>
  <c r="AH18" i="4"/>
  <c r="AC444" i="5"/>
  <c r="AE444" i="5" s="1"/>
  <c r="AC555" i="5"/>
  <c r="AD555" i="5" s="1"/>
  <c r="AC338" i="5"/>
  <c r="AS338" i="5" s="1"/>
  <c r="AC163" i="5"/>
  <c r="AD163" i="5" s="1"/>
  <c r="AB163" i="5"/>
  <c r="AA157" i="5"/>
  <c r="AC99" i="5"/>
  <c r="AD99" i="5" s="1"/>
  <c r="AC255" i="5"/>
  <c r="AE255" i="5" s="1"/>
  <c r="AC553" i="5"/>
  <c r="AS553" i="5" s="1"/>
  <c r="AC388" i="5"/>
  <c r="AE388" i="5" s="1"/>
  <c r="AC247" i="5"/>
  <c r="AD247" i="5" s="1"/>
  <c r="AC93" i="5"/>
  <c r="AE93" i="5" s="1"/>
  <c r="W12" i="4"/>
  <c r="AE12" i="4" s="1"/>
  <c r="AC509" i="5"/>
  <c r="AD509" i="5" s="1"/>
  <c r="AC157" i="5"/>
  <c r="AD157" i="5" s="1"/>
  <c r="AC90" i="5"/>
  <c r="AE90" i="5" s="1"/>
  <c r="AC153" i="5"/>
  <c r="AD153" i="5" s="1"/>
  <c r="AC35" i="5"/>
  <c r="AD35" i="5" s="1"/>
  <c r="AC548" i="5"/>
  <c r="AE548" i="5" s="1"/>
  <c r="AC53" i="5"/>
  <c r="AE53" i="5" s="1"/>
  <c r="AA43" i="5"/>
  <c r="AA125" i="5"/>
  <c r="AC257" i="5"/>
  <c r="AS257" i="5" s="1"/>
  <c r="AT257" i="5" s="1"/>
  <c r="AC331" i="5"/>
  <c r="AS331" i="5" s="1"/>
  <c r="AC178" i="5"/>
  <c r="AD178" i="5" s="1"/>
  <c r="AC498" i="5"/>
  <c r="AS498" i="5" s="1"/>
  <c r="AC491" i="5"/>
  <c r="AS491" i="5" s="1"/>
  <c r="AC362" i="5"/>
  <c r="AS362" i="5" s="1"/>
  <c r="AC400" i="5"/>
  <c r="AE400" i="5" s="1"/>
  <c r="AC67" i="5"/>
  <c r="AE67" i="5" s="1"/>
  <c r="AC33" i="5"/>
  <c r="AS33" i="5" s="1"/>
  <c r="AC428" i="5"/>
  <c r="AE428" i="5" s="1"/>
  <c r="AC263" i="5"/>
  <c r="AD263" i="5" s="1"/>
  <c r="AB380" i="5"/>
  <c r="AA501" i="5"/>
  <c r="AB471" i="5"/>
  <c r="AB320" i="5"/>
  <c r="AA306" i="5"/>
  <c r="AC141" i="5"/>
  <c r="AD141" i="5" s="1"/>
  <c r="AC198" i="5"/>
  <c r="AD198" i="5" s="1"/>
  <c r="AC183" i="5"/>
  <c r="AS183" i="5" s="1"/>
  <c r="AC465" i="5"/>
  <c r="AS465" i="5" s="1"/>
  <c r="AA118" i="5"/>
  <c r="AB209" i="5"/>
  <c r="AA435" i="5"/>
  <c r="AC82" i="5"/>
  <c r="AE82" i="5" s="1"/>
  <c r="AC253" i="5"/>
  <c r="AS253" i="5" s="1"/>
  <c r="AC380" i="5"/>
  <c r="AS380" i="5" s="1"/>
  <c r="AC291" i="5"/>
  <c r="AE291" i="5" s="1"/>
  <c r="AC209" i="5"/>
  <c r="AD209" i="5" s="1"/>
  <c r="AC293" i="5"/>
  <c r="AE293" i="5" s="1"/>
  <c r="AC560" i="5"/>
  <c r="AE560" i="5" s="1"/>
  <c r="AC384" i="5"/>
  <c r="AD384" i="5" s="1"/>
  <c r="AC175" i="5"/>
  <c r="AS175" i="5" s="1"/>
  <c r="AT175" i="5" s="1"/>
  <c r="AC296" i="5"/>
  <c r="AS296" i="5" s="1"/>
  <c r="AC318" i="5"/>
  <c r="AD318" i="5" s="1"/>
  <c r="AC413" i="5"/>
  <c r="AS413" i="5" s="1"/>
  <c r="AB348" i="5"/>
  <c r="AA108" i="5"/>
  <c r="AC199" i="5"/>
  <c r="AD199" i="5" s="1"/>
  <c r="AA100" i="5"/>
  <c r="AC7" i="5"/>
  <c r="AS7" i="5" s="1"/>
  <c r="AC147" i="5"/>
  <c r="AS147" i="5" s="1"/>
  <c r="AU147" i="5" s="1"/>
  <c r="AC471" i="5"/>
  <c r="AS471" i="5" s="1"/>
  <c r="AC348" i="5"/>
  <c r="AS348" i="5" s="1"/>
  <c r="AC339" i="5"/>
  <c r="AS339" i="5" s="1"/>
  <c r="AC19" i="5"/>
  <c r="AD19" i="5" s="1"/>
  <c r="AC219" i="5"/>
  <c r="AE219" i="5" s="1"/>
  <c r="AC501" i="5"/>
  <c r="AD501" i="5" s="1"/>
  <c r="AC316" i="5"/>
  <c r="AE316" i="5" s="1"/>
  <c r="AB291" i="5"/>
  <c r="AA231" i="5"/>
  <c r="AB460" i="5"/>
  <c r="AA82" i="5"/>
  <c r="AA199" i="5"/>
  <c r="AB521" i="5"/>
  <c r="AA470" i="5"/>
  <c r="AC437" i="5"/>
  <c r="AD437" i="5" s="1"/>
  <c r="AC108" i="5"/>
  <c r="AD108" i="5" s="1"/>
  <c r="AC308" i="5"/>
  <c r="AD308" i="5" s="1"/>
  <c r="AC406" i="5"/>
  <c r="AD406" i="5" s="1"/>
  <c r="AC447" i="5"/>
  <c r="AD447" i="5" s="1"/>
  <c r="AC344" i="5"/>
  <c r="AD344" i="5" s="1"/>
  <c r="AC231" i="5"/>
  <c r="AD231" i="5" s="1"/>
  <c r="AC78" i="5"/>
  <c r="AS78" i="5" s="1"/>
  <c r="AT78" i="5" s="1"/>
  <c r="AB92" i="5"/>
  <c r="AC529" i="5"/>
  <c r="AE529" i="5" s="1"/>
  <c r="AC521" i="5"/>
  <c r="AS521" i="5" s="1"/>
  <c r="AC320" i="5"/>
  <c r="AE320" i="5" s="1"/>
  <c r="AC411" i="5"/>
  <c r="AE411" i="5" s="1"/>
  <c r="AC115" i="5"/>
  <c r="AD115" i="5" s="1"/>
  <c r="AM115" i="4"/>
  <c r="AN115" i="4" s="1"/>
  <c r="AM26" i="4"/>
  <c r="AN26" i="4" s="1"/>
  <c r="W26" i="4"/>
  <c r="AA409" i="5"/>
  <c r="AA414" i="5"/>
  <c r="AC321" i="5"/>
  <c r="AD321" i="5" s="1"/>
  <c r="AC410" i="5"/>
  <c r="AE410" i="5" s="1"/>
  <c r="AC480" i="5"/>
  <c r="AD480" i="5" s="1"/>
  <c r="AC135" i="5"/>
  <c r="AS135" i="5" s="1"/>
  <c r="AC420" i="5"/>
  <c r="AD420" i="5" s="1"/>
  <c r="AC559" i="5"/>
  <c r="AD559" i="5" s="1"/>
  <c r="AC436" i="5"/>
  <c r="AS436" i="5" s="1"/>
  <c r="AA66" i="5"/>
  <c r="AC182" i="5"/>
  <c r="AS182" i="5" s="1"/>
  <c r="AT182" i="5" s="1"/>
  <c r="AC20" i="5"/>
  <c r="AD20" i="5" s="1"/>
  <c r="AC45" i="5"/>
  <c r="AE45" i="5" s="1"/>
  <c r="AC201" i="5"/>
  <c r="AD201" i="5" s="1"/>
  <c r="AC102" i="5"/>
  <c r="AD102" i="5" s="1"/>
  <c r="AC323" i="5"/>
  <c r="AD323" i="5" s="1"/>
  <c r="AC66" i="5"/>
  <c r="AE66" i="5" s="1"/>
  <c r="AC528" i="5"/>
  <c r="AE528" i="5" s="1"/>
  <c r="AA369" i="5"/>
  <c r="AA317" i="5"/>
  <c r="AA410" i="5"/>
  <c r="AC204" i="5"/>
  <c r="AE204" i="5" s="1"/>
  <c r="AC506" i="5"/>
  <c r="AS506" i="5" s="1"/>
  <c r="AC409" i="5"/>
  <c r="AE409" i="5" s="1"/>
  <c r="AA282" i="5"/>
  <c r="AA506" i="5"/>
  <c r="AB135" i="5"/>
  <c r="AA201" i="5"/>
  <c r="AC272" i="5"/>
  <c r="AE272" i="5" s="1"/>
  <c r="AC414" i="5"/>
  <c r="AE414" i="5" s="1"/>
  <c r="AC81" i="5"/>
  <c r="AS81" i="5" s="1"/>
  <c r="AU81" i="5" s="1"/>
  <c r="AC387" i="5"/>
  <c r="AD387" i="5" s="1"/>
  <c r="AC266" i="5"/>
  <c r="AS266" i="5" s="1"/>
  <c r="AC282" i="5"/>
  <c r="AS282" i="5" s="1"/>
  <c r="AC72" i="5"/>
  <c r="AS72" i="5" s="1"/>
  <c r="AU72" i="5" s="1"/>
  <c r="AC558" i="5"/>
  <c r="AD558" i="5" s="1"/>
  <c r="AC317" i="5"/>
  <c r="AS317" i="5" s="1"/>
  <c r="AC240" i="5"/>
  <c r="AD240" i="5" s="1"/>
  <c r="AE118" i="4"/>
  <c r="AF118" i="4"/>
  <c r="AG118" i="4" s="1"/>
  <c r="AI118" i="4" s="1"/>
  <c r="X118" i="4"/>
  <c r="AA118" i="4" s="1"/>
  <c r="AC118" i="4" s="1"/>
  <c r="AD118" i="4" s="1"/>
  <c r="AJ91" i="4"/>
  <c r="AL11" i="5"/>
  <c r="AE96" i="4"/>
  <c r="X96" i="4"/>
  <c r="AJ96" i="4" s="1"/>
  <c r="AJ77" i="4"/>
  <c r="AO9" i="5"/>
  <c r="W39" i="4"/>
  <c r="X39" i="4" s="1"/>
  <c r="AJ39" i="4" s="1"/>
  <c r="W72" i="4"/>
  <c r="Y72" i="4" s="1"/>
  <c r="Z72" i="4" s="1"/>
  <c r="AF72" i="4" s="1"/>
  <c r="AG72" i="4" s="1"/>
  <c r="AI72" i="4" s="1"/>
  <c r="AG96" i="4"/>
  <c r="AI96" i="4" s="1"/>
  <c r="Z149" i="4"/>
  <c r="AF149" i="4" s="1"/>
  <c r="AO149" i="4" s="1"/>
  <c r="W22" i="4"/>
  <c r="X22" i="4" s="1"/>
  <c r="AJ22" i="4" s="1"/>
  <c r="AE140" i="4"/>
  <c r="X140" i="4"/>
  <c r="AJ140" i="4" s="1"/>
  <c r="W109" i="4"/>
  <c r="X109" i="4" s="1"/>
  <c r="AJ109" i="4" s="1"/>
  <c r="Z42" i="4"/>
  <c r="AF42" i="4" s="1"/>
  <c r="W129" i="4"/>
  <c r="Y129" i="4" s="1"/>
  <c r="Z129" i="4" s="1"/>
  <c r="AF129" i="4" s="1"/>
  <c r="AP9" i="5"/>
  <c r="AR9" i="5" s="1"/>
  <c r="W148" i="4"/>
  <c r="X148" i="4" s="1"/>
  <c r="AJ148" i="4" s="1"/>
  <c r="AP11" i="5"/>
  <c r="AQ11" i="5" s="1"/>
  <c r="AM121" i="4"/>
  <c r="AN121" i="4" s="1"/>
  <c r="W67" i="4"/>
  <c r="Y67" i="4" s="1"/>
  <c r="Z67" i="4" s="1"/>
  <c r="AM59" i="4"/>
  <c r="AN59" i="4" s="1"/>
  <c r="W59" i="4"/>
  <c r="X59" i="4" s="1"/>
  <c r="AJ59" i="4" s="1"/>
  <c r="AM132" i="4"/>
  <c r="AN132" i="4" s="1"/>
  <c r="W132" i="4"/>
  <c r="AM83" i="4"/>
  <c r="AN83" i="4" s="1"/>
  <c r="W83" i="4"/>
  <c r="AM141" i="4"/>
  <c r="AN141" i="4" s="1"/>
  <c r="W141" i="4"/>
  <c r="AM62" i="4"/>
  <c r="AN62" i="4" s="1"/>
  <c r="W62" i="4"/>
  <c r="AM21" i="4"/>
  <c r="AN21" i="4" s="1"/>
  <c r="W21" i="4"/>
  <c r="AN84" i="4"/>
  <c r="AM79" i="4"/>
  <c r="AN79" i="4" s="1"/>
  <c r="W79" i="4"/>
  <c r="Y79" i="4" s="1"/>
  <c r="Z79" i="4" s="1"/>
  <c r="W24" i="4"/>
  <c r="AM24" i="4"/>
  <c r="AN24" i="4" s="1"/>
  <c r="X105" i="4"/>
  <c r="AJ105" i="4" s="1"/>
  <c r="Y105" i="4"/>
  <c r="Z105" i="4" s="1"/>
  <c r="AE105" i="4"/>
  <c r="AH105" i="4"/>
  <c r="AM133" i="4"/>
  <c r="AN133" i="4" s="1"/>
  <c r="W133" i="4"/>
  <c r="W155" i="4"/>
  <c r="AE155" i="4" s="1"/>
  <c r="AM155" i="4"/>
  <c r="AN155" i="4" s="1"/>
  <c r="AM101" i="4"/>
  <c r="AN101" i="4" s="1"/>
  <c r="W101" i="4"/>
  <c r="AM34" i="4"/>
  <c r="AN34" i="4" s="1"/>
  <c r="W34" i="4"/>
  <c r="AM130" i="4"/>
  <c r="AN130" i="4" s="1"/>
  <c r="W130" i="4"/>
  <c r="Z140" i="4"/>
  <c r="AN143" i="4"/>
  <c r="AM144" i="4"/>
  <c r="AN144" i="4" s="1"/>
  <c r="W144" i="4"/>
  <c r="AN140" i="4"/>
  <c r="W152" i="4"/>
  <c r="Y152" i="4" s="1"/>
  <c r="Z152" i="4" s="1"/>
  <c r="W94" i="4"/>
  <c r="AE94" i="4" s="1"/>
  <c r="AM94" i="4"/>
  <c r="AN94" i="4" s="1"/>
  <c r="AM58" i="4"/>
  <c r="AN58" i="4" s="1"/>
  <c r="W58" i="4"/>
  <c r="AH155" i="4"/>
  <c r="AM10" i="4"/>
  <c r="AN10" i="4" s="1"/>
  <c r="W10" i="4"/>
  <c r="Y91" i="4"/>
  <c r="Z91" i="4" s="1"/>
  <c r="AA91" i="4" s="1"/>
  <c r="AC91" i="4" s="1"/>
  <c r="AD91" i="4" s="1"/>
  <c r="AE143" i="4"/>
  <c r="AE91" i="4"/>
  <c r="R9" i="5"/>
  <c r="S9" i="5"/>
  <c r="X84" i="4"/>
  <c r="AJ84" i="4" s="1"/>
  <c r="AE84" i="4"/>
  <c r="Y84" i="4"/>
  <c r="Z84" i="4" s="1"/>
  <c r="AI9" i="5"/>
  <c r="AH9" i="5"/>
  <c r="V9" i="5"/>
  <c r="U9" i="5"/>
  <c r="Y9" i="5"/>
  <c r="X9" i="5"/>
  <c r="AF143" i="4"/>
  <c r="X143" i="4"/>
  <c r="AJ143" i="4" s="1"/>
  <c r="AE40" i="4"/>
  <c r="AA11" i="5"/>
  <c r="AI11" i="5"/>
  <c r="AH11" i="5"/>
  <c r="S11" i="5"/>
  <c r="R11" i="5"/>
  <c r="X11" i="5"/>
  <c r="Y11" i="5"/>
  <c r="AR327" i="5"/>
  <c r="AR436" i="5"/>
  <c r="AQ438" i="5"/>
  <c r="AQ420" i="5"/>
  <c r="AR381" i="5"/>
  <c r="AQ392" i="5"/>
  <c r="AR261" i="5"/>
  <c r="AR531" i="5"/>
  <c r="AQ259" i="5"/>
  <c r="AR103" i="5"/>
  <c r="AR533" i="5"/>
  <c r="AR274" i="5"/>
  <c r="AQ66" i="5"/>
  <c r="AR474" i="5"/>
  <c r="AQ140" i="5"/>
  <c r="AQ101" i="5"/>
  <c r="AQ487" i="5"/>
  <c r="AR278" i="5"/>
  <c r="AR337" i="5"/>
  <c r="AQ143" i="5"/>
  <c r="AR397" i="5"/>
  <c r="AR226" i="5"/>
  <c r="AR296" i="5"/>
  <c r="AE122" i="4"/>
  <c r="AB128" i="5"/>
  <c r="AA180" i="5"/>
  <c r="AA361" i="5"/>
  <c r="AA338" i="5"/>
  <c r="AB353" i="5"/>
  <c r="AC315" i="5"/>
  <c r="AE315" i="5" s="1"/>
  <c r="AA267" i="5"/>
  <c r="AA253" i="5"/>
  <c r="AB362" i="5"/>
  <c r="AC396" i="5"/>
  <c r="AE396" i="5" s="1"/>
  <c r="AA318" i="5"/>
  <c r="AB511" i="5"/>
  <c r="AC539" i="5"/>
  <c r="AD539" i="5" s="1"/>
  <c r="AB465" i="5"/>
  <c r="AC430" i="5"/>
  <c r="AD430" i="5" s="1"/>
  <c r="AA346" i="5"/>
  <c r="AA281" i="5"/>
  <c r="AC8" i="5"/>
  <c r="AE8" i="5" s="1"/>
  <c r="AA158" i="5"/>
  <c r="AB357" i="5"/>
  <c r="AC290" i="5"/>
  <c r="AS290" i="5" s="1"/>
  <c r="AC305" i="5"/>
  <c r="AS305" i="5" s="1"/>
  <c r="AB206" i="5"/>
  <c r="AB440" i="5"/>
  <c r="AC292" i="5"/>
  <c r="AD292" i="5" s="1"/>
  <c r="AB65" i="5"/>
  <c r="AB214" i="5"/>
  <c r="AB101" i="5"/>
  <c r="AB326" i="5"/>
  <c r="AB253" i="5"/>
  <c r="AB287" i="5"/>
  <c r="AA465" i="5"/>
  <c r="AA295" i="5"/>
  <c r="AC346" i="5"/>
  <c r="AD346" i="5" s="1"/>
  <c r="AA186" i="5"/>
  <c r="AB158" i="5"/>
  <c r="AC407" i="5"/>
  <c r="AD407" i="5" s="1"/>
  <c r="AC357" i="5"/>
  <c r="AE357" i="5" s="1"/>
  <c r="AA290" i="5"/>
  <c r="AA305" i="5"/>
  <c r="AA440" i="5"/>
  <c r="AB292" i="5"/>
  <c r="AA65" i="5"/>
  <c r="AB230" i="5"/>
  <c r="AC326" i="5"/>
  <c r="AD326" i="5" s="1"/>
  <c r="AA353" i="5"/>
  <c r="AB339" i="5"/>
  <c r="AC95" i="5"/>
  <c r="AE95" i="5" s="1"/>
  <c r="AB295" i="5"/>
  <c r="AB186" i="5"/>
  <c r="AA488" i="5"/>
  <c r="AA407" i="5"/>
  <c r="AA427" i="5"/>
  <c r="AA323" i="5"/>
  <c r="AC227" i="5"/>
  <c r="AD227" i="5" s="1"/>
  <c r="AC230" i="5"/>
  <c r="AD230" i="5" s="1"/>
  <c r="AA315" i="5"/>
  <c r="AA245" i="5"/>
  <c r="AC284" i="5"/>
  <c r="AS284" i="5" s="1"/>
  <c r="AC287" i="5"/>
  <c r="AE287" i="5" s="1"/>
  <c r="AC311" i="5"/>
  <c r="AS311" i="5" s="1"/>
  <c r="AC124" i="5"/>
  <c r="AD124" i="5" s="1"/>
  <c r="AA496" i="5"/>
  <c r="AB377" i="5"/>
  <c r="AB245" i="5"/>
  <c r="AC224" i="5"/>
  <c r="AD224" i="5" s="1"/>
  <c r="AA339" i="5"/>
  <c r="AA284" i="5"/>
  <c r="AA95" i="5"/>
  <c r="AA311" i="5"/>
  <c r="AA365" i="5"/>
  <c r="AA391" i="5"/>
  <c r="AC172" i="5"/>
  <c r="AD172" i="5" s="1"/>
  <c r="AB20" i="5"/>
  <c r="AB458" i="5"/>
  <c r="AA127" i="5"/>
  <c r="AA122" i="5"/>
  <c r="AB323" i="5"/>
  <c r="AB496" i="5"/>
  <c r="AA377" i="5"/>
  <c r="AA172" i="5"/>
  <c r="AA197" i="5"/>
  <c r="AB399" i="5"/>
  <c r="AA224" i="5"/>
  <c r="AB365" i="5"/>
  <c r="AC176" i="5"/>
  <c r="AS176" i="5" s="1"/>
  <c r="AC391" i="5"/>
  <c r="AD391" i="5" s="1"/>
  <c r="AC458" i="5"/>
  <c r="AE458" i="5" s="1"/>
  <c r="AB127" i="5"/>
  <c r="AB122" i="5"/>
  <c r="AC435" i="5"/>
  <c r="AE435" i="5" s="1"/>
  <c r="AA176" i="5"/>
  <c r="AA504" i="5"/>
  <c r="AB117" i="5"/>
  <c r="AB124" i="5"/>
  <c r="AA239" i="5"/>
  <c r="AB197" i="5"/>
  <c r="AB45" i="5"/>
  <c r="AC196" i="5"/>
  <c r="AD196" i="5" s="1"/>
  <c r="AA450" i="5"/>
  <c r="AA20" i="5"/>
  <c r="AC442" i="5"/>
  <c r="AD442" i="5" s="1"/>
  <c r="AA269" i="5"/>
  <c r="AB473" i="5"/>
  <c r="AB450" i="5"/>
  <c r="AB165" i="5"/>
  <c r="AB120" i="5"/>
  <c r="AA45" i="5"/>
  <c r="AC423" i="5"/>
  <c r="AD423" i="5" s="1"/>
  <c r="AC490" i="5"/>
  <c r="AD490" i="5" s="1"/>
  <c r="AC355" i="5"/>
  <c r="AD355" i="5" s="1"/>
  <c r="AF108" i="4"/>
  <c r="AG108" i="4" s="1"/>
  <c r="AI108" i="4" s="1"/>
  <c r="AA300" i="5"/>
  <c r="AE123" i="4"/>
  <c r="AB433" i="5"/>
  <c r="AA248" i="5"/>
  <c r="AA252" i="5"/>
  <c r="AA84" i="5"/>
  <c r="AA23" i="5"/>
  <c r="AB427" i="5"/>
  <c r="AA28" i="5"/>
  <c r="AA399" i="5"/>
  <c r="AA87" i="5"/>
  <c r="AA381" i="5"/>
  <c r="AA178" i="5"/>
  <c r="AC28" i="5"/>
  <c r="AE28" i="5" s="1"/>
  <c r="AB178" i="5"/>
  <c r="AA334" i="5"/>
  <c r="AC524" i="5"/>
  <c r="AS524" i="5" s="1"/>
  <c r="AB54" i="5"/>
  <c r="AB143" i="5"/>
  <c r="AB61" i="5"/>
  <c r="AB246" i="5"/>
  <c r="AA21" i="5"/>
  <c r="AA225" i="5"/>
  <c r="AA10" i="5"/>
  <c r="AB341" i="5"/>
  <c r="AB268" i="5"/>
  <c r="AA480" i="5"/>
  <c r="AA434" i="5"/>
  <c r="AA104" i="5"/>
  <c r="AB434" i="5"/>
  <c r="AB280" i="5"/>
  <c r="AB182" i="5"/>
  <c r="AA530" i="5"/>
  <c r="AB542" i="5"/>
  <c r="X40" i="4"/>
  <c r="AJ40" i="4" s="1"/>
  <c r="AE82" i="4"/>
  <c r="AB302" i="5"/>
  <c r="AA310" i="5"/>
  <c r="AB307" i="5"/>
  <c r="AB30" i="5"/>
  <c r="AC187" i="5"/>
  <c r="AS187" i="5" s="1"/>
  <c r="AC167" i="5"/>
  <c r="AS167" i="5" s="1"/>
  <c r="AB508" i="5"/>
  <c r="AC449" i="5"/>
  <c r="AS449" i="5" s="1"/>
  <c r="AB44" i="5"/>
  <c r="AB449" i="5"/>
  <c r="AE71" i="4"/>
  <c r="AB210" i="5"/>
  <c r="AB73" i="5"/>
  <c r="AB279" i="5"/>
  <c r="AB159" i="5"/>
  <c r="AE31" i="4"/>
  <c r="AB411" i="5"/>
  <c r="AA383" i="5"/>
  <c r="AA183" i="5"/>
  <c r="AC322" i="5"/>
  <c r="AE322" i="5" s="1"/>
  <c r="AB237" i="5"/>
  <c r="AA73" i="5"/>
  <c r="AA337" i="5"/>
  <c r="AC37" i="5"/>
  <c r="AS37" i="5" s="1"/>
  <c r="AA510" i="5"/>
  <c r="AA152" i="5"/>
  <c r="AC86" i="5"/>
  <c r="AE86" i="5" s="1"/>
  <c r="AA508" i="5"/>
  <c r="AA78" i="5"/>
  <c r="AC79" i="5"/>
  <c r="AD79" i="5" s="1"/>
  <c r="AA162" i="5"/>
  <c r="AB240" i="5"/>
  <c r="AA79" i="5"/>
  <c r="AB378" i="5"/>
  <c r="AB233" i="5"/>
  <c r="AC249" i="5"/>
  <c r="AE249" i="5" s="1"/>
  <c r="AB68" i="5"/>
  <c r="AA190" i="5"/>
  <c r="AA52" i="5"/>
  <c r="AA12" i="5"/>
  <c r="AC177" i="5"/>
  <c r="AD177" i="5" s="1"/>
  <c r="AC211" i="5"/>
  <c r="AE211" i="5" s="1"/>
  <c r="AA227" i="5"/>
  <c r="AA237" i="5"/>
  <c r="AA352" i="5"/>
  <c r="AC233" i="5"/>
  <c r="AE233" i="5" s="1"/>
  <c r="AB249" i="5"/>
  <c r="AA68" i="5"/>
  <c r="AA234" i="5"/>
  <c r="AA177" i="5"/>
  <c r="AB156" i="5"/>
  <c r="AB198" i="5"/>
  <c r="AC419" i="5"/>
  <c r="AD419" i="5" s="1"/>
  <c r="AB211" i="5"/>
  <c r="AB195" i="5"/>
  <c r="AB345" i="5"/>
  <c r="AA378" i="5"/>
  <c r="AC246" i="5"/>
  <c r="AD246" i="5" s="1"/>
  <c r="AB123" i="5"/>
  <c r="AB271" i="5"/>
  <c r="AA56" i="5"/>
  <c r="AC352" i="5"/>
  <c r="AD352" i="5" s="1"/>
  <c r="AC393" i="5"/>
  <c r="AE393" i="5" s="1"/>
  <c r="AB234" i="5"/>
  <c r="AA556" i="5"/>
  <c r="AC330" i="5"/>
  <c r="AE330" i="5" s="1"/>
  <c r="AC156" i="5"/>
  <c r="AD156" i="5" s="1"/>
  <c r="AA164" i="5"/>
  <c r="AB141" i="5"/>
  <c r="AB386" i="5"/>
  <c r="AC195" i="5"/>
  <c r="AE195" i="5" s="1"/>
  <c r="AA552" i="5"/>
  <c r="AA115" i="5"/>
  <c r="AA280" i="5"/>
  <c r="AC123" i="5"/>
  <c r="AS123" i="5" s="1"/>
  <c r="AC271" i="5"/>
  <c r="AD271" i="5" s="1"/>
  <c r="AC56" i="5"/>
  <c r="AE56" i="5" s="1"/>
  <c r="AC159" i="5"/>
  <c r="AS159" i="5" s="1"/>
  <c r="AB393" i="5"/>
  <c r="AA187" i="5"/>
  <c r="AC337" i="5"/>
  <c r="AS337" i="5" s="1"/>
  <c r="AB556" i="5"/>
  <c r="AA44" i="5"/>
  <c r="AB37" i="5"/>
  <c r="AA330" i="5"/>
  <c r="AA218" i="5"/>
  <c r="AB102" i="5"/>
  <c r="AA141" i="5"/>
  <c r="AA167" i="5"/>
  <c r="AA229" i="5"/>
  <c r="AB115" i="5"/>
  <c r="AB77" i="5"/>
  <c r="AB21" i="5"/>
  <c r="AB310" i="5"/>
  <c r="AB218" i="5"/>
  <c r="AA102" i="5"/>
  <c r="AB183" i="5"/>
  <c r="AC30" i="5"/>
  <c r="AD30" i="5" s="1"/>
  <c r="AB322" i="5"/>
  <c r="AC542" i="5"/>
  <c r="AE542" i="5" s="1"/>
  <c r="AB229" i="5"/>
  <c r="AE108" i="4"/>
  <c r="X123" i="4"/>
  <c r="AJ123" i="4" s="1"/>
  <c r="AC162" i="5"/>
  <c r="AD162" i="5" s="1"/>
  <c r="AC52" i="5"/>
  <c r="AD52" i="5" s="1"/>
  <c r="AC307" i="5"/>
  <c r="AE307" i="5" s="1"/>
  <c r="AA182" i="5"/>
  <c r="AC152" i="5"/>
  <c r="AD152" i="5" s="1"/>
  <c r="AA210" i="5"/>
  <c r="AC10" i="5"/>
  <c r="AD10" i="5" s="1"/>
  <c r="AA279" i="5"/>
  <c r="AC190" i="5"/>
  <c r="AD190" i="5" s="1"/>
  <c r="AC225" i="5"/>
  <c r="AE225" i="5" s="1"/>
  <c r="AC96" i="5"/>
  <c r="AE96" i="5" s="1"/>
  <c r="AA240" i="5"/>
  <c r="AC164" i="5"/>
  <c r="AE164" i="5" s="1"/>
  <c r="AB12" i="5"/>
  <c r="AB78" i="5"/>
  <c r="AC299" i="5"/>
  <c r="AD299" i="5" s="1"/>
  <c r="AE70" i="4"/>
  <c r="AA243" i="5"/>
  <c r="AB38" i="5"/>
  <c r="AC63" i="5"/>
  <c r="AS63" i="5" s="1"/>
  <c r="AB154" i="5"/>
  <c r="AB272" i="5"/>
  <c r="AA385" i="5"/>
  <c r="AA492" i="5"/>
  <c r="AA72" i="5"/>
  <c r="AB559" i="5"/>
  <c r="AC250" i="5"/>
  <c r="AD250" i="5" s="1"/>
  <c r="AC131" i="5"/>
  <c r="AD131" i="5" s="1"/>
  <c r="AC64" i="5"/>
  <c r="AD64" i="5" s="1"/>
  <c r="AB67" i="5"/>
  <c r="AB477" i="5"/>
  <c r="AB204" i="5"/>
  <c r="AC516" i="5"/>
  <c r="AE516" i="5" s="1"/>
  <c r="AC347" i="5"/>
  <c r="AS347" i="5" s="1"/>
  <c r="AB99" i="5"/>
  <c r="AC74" i="5"/>
  <c r="AS74" i="5" s="1"/>
  <c r="AC169" i="5"/>
  <c r="AE169" i="5" s="1"/>
  <c r="AB83" i="5"/>
  <c r="AC281" i="5"/>
  <c r="AE281" i="5" s="1"/>
  <c r="AC154" i="5"/>
  <c r="AD154" i="5" s="1"/>
  <c r="AA107" i="5"/>
  <c r="AC146" i="5"/>
  <c r="AS146" i="5" s="1"/>
  <c r="AC98" i="5"/>
  <c r="AD98" i="5" s="1"/>
  <c r="AA559" i="5"/>
  <c r="AB131" i="5"/>
  <c r="AA266" i="5"/>
  <c r="AA204" i="5"/>
  <c r="AC550" i="5"/>
  <c r="AD550" i="5" s="1"/>
  <c r="AA478" i="5"/>
  <c r="AA374" i="5"/>
  <c r="AC11" i="5"/>
  <c r="AA328" i="5"/>
  <c r="AC328" i="5"/>
  <c r="AD328" i="5" s="1"/>
  <c r="AC526" i="5"/>
  <c r="AD526" i="5" s="1"/>
  <c r="AA113" i="5"/>
  <c r="AA500" i="5"/>
  <c r="AA516" i="5"/>
  <c r="AA457" i="5"/>
  <c r="AA541" i="5"/>
  <c r="AB347" i="5"/>
  <c r="AA99" i="5"/>
  <c r="AC273" i="5"/>
  <c r="AE273" i="5" s="1"/>
  <c r="AB74" i="5"/>
  <c r="AA344" i="5"/>
  <c r="AA319" i="5"/>
  <c r="AC107" i="5"/>
  <c r="AD107" i="5" s="1"/>
  <c r="AA146" i="5"/>
  <c r="AB98" i="5"/>
  <c r="AB534" i="5"/>
  <c r="AC139" i="5"/>
  <c r="AE139" i="5" s="1"/>
  <c r="AB419" i="5"/>
  <c r="AC170" i="5"/>
  <c r="AS170" i="5" s="1"/>
  <c r="AB266" i="5"/>
  <c r="AA173" i="5"/>
  <c r="AB96" i="5"/>
  <c r="AC288" i="5"/>
  <c r="AS288" i="5" s="1"/>
  <c r="AB413" i="5"/>
  <c r="AC488" i="5"/>
  <c r="AS488" i="5" s="1"/>
  <c r="AB526" i="5"/>
  <c r="AB113" i="5"/>
  <c r="AB500" i="5"/>
  <c r="AA134" i="5"/>
  <c r="AC457" i="5"/>
  <c r="AD457" i="5" s="1"/>
  <c r="AC71" i="5"/>
  <c r="AE71" i="5" s="1"/>
  <c r="AB541" i="5"/>
  <c r="AE51" i="4"/>
  <c r="AA273" i="5"/>
  <c r="AB344" i="5"/>
  <c r="AC258" i="5"/>
  <c r="AS258" i="5" s="1"/>
  <c r="AC319" i="5"/>
  <c r="AS319" i="5" s="1"/>
  <c r="AB39" i="5"/>
  <c r="AA534" i="5"/>
  <c r="AA198" i="5"/>
  <c r="AB139" i="5"/>
  <c r="AA170" i="5"/>
  <c r="AA345" i="5"/>
  <c r="AC370" i="5"/>
  <c r="AS370" i="5" s="1"/>
  <c r="AB71" i="5"/>
  <c r="AE28" i="4"/>
  <c r="AC39" i="5"/>
  <c r="AE39" i="5" s="1"/>
  <c r="AA519" i="5"/>
  <c r="AB134" i="5"/>
  <c r="AB432" i="5"/>
  <c r="AC100" i="5"/>
  <c r="AS100" i="5" s="1"/>
  <c r="AA238" i="5"/>
  <c r="AA22" i="5"/>
  <c r="AE75" i="4"/>
  <c r="AC85" i="5"/>
  <c r="AS85" i="5" s="1"/>
  <c r="AC235" i="5"/>
  <c r="AE235" i="5" s="1"/>
  <c r="AA444" i="5"/>
  <c r="AC92" i="5"/>
  <c r="AE92" i="5" s="1"/>
  <c r="AC185" i="5"/>
  <c r="AD185" i="5" s="1"/>
  <c r="AA517" i="5"/>
  <c r="AA258" i="5"/>
  <c r="AB370" i="5"/>
  <c r="AC161" i="5"/>
  <c r="AS161" i="5" s="1"/>
  <c r="AA432" i="5"/>
  <c r="AB299" i="5"/>
  <c r="AB22" i="5"/>
  <c r="AB85" i="5"/>
  <c r="AA185" i="5"/>
  <c r="AB238" i="5"/>
  <c r="AA277" i="5"/>
  <c r="AB481" i="5"/>
  <c r="AG27" i="4"/>
  <c r="AI27" i="4" s="1"/>
  <c r="AO27" i="4"/>
  <c r="AO19" i="4"/>
  <c r="AG19" i="4"/>
  <c r="AI19" i="4" s="1"/>
  <c r="AF111" i="4"/>
  <c r="AO30" i="4"/>
  <c r="AG30" i="4"/>
  <c r="AI30" i="4" s="1"/>
  <c r="AB466" i="5"/>
  <c r="AC412" i="5"/>
  <c r="AD412" i="5" s="1"/>
  <c r="AB381" i="5"/>
  <c r="AA47" i="5"/>
  <c r="AC464" i="5"/>
  <c r="AS464" i="5" s="1"/>
  <c r="AB248" i="5"/>
  <c r="AA408" i="5"/>
  <c r="AA433" i="5"/>
  <c r="AA349" i="5"/>
  <c r="AB312" i="5"/>
  <c r="AB555" i="5"/>
  <c r="AB443" i="5"/>
  <c r="AA505" i="5"/>
  <c r="AA155" i="5"/>
  <c r="AA512" i="5"/>
  <c r="AC334" i="5"/>
  <c r="AE334" i="5" s="1"/>
  <c r="AA355" i="5"/>
  <c r="AA547" i="5"/>
  <c r="AB451" i="5"/>
  <c r="AB232" i="5"/>
  <c r="AA46" i="5"/>
  <c r="AA420" i="5"/>
  <c r="AB536" i="5"/>
  <c r="AA481" i="5"/>
  <c r="AR210" i="5"/>
  <c r="AQ291" i="5"/>
  <c r="AE63" i="4"/>
  <c r="Y63" i="4"/>
  <c r="Z63" i="4" s="1"/>
  <c r="X23" i="4"/>
  <c r="AJ23" i="4" s="1"/>
  <c r="Y23" i="4"/>
  <c r="Z23" i="4" s="1"/>
  <c r="AE23" i="4"/>
  <c r="AN10" i="5"/>
  <c r="AO10" i="5"/>
  <c r="AE52" i="4"/>
  <c r="X52" i="4"/>
  <c r="AJ52" i="4" s="1"/>
  <c r="Y52" i="4"/>
  <c r="Z52" i="4" s="1"/>
  <c r="AG71" i="4"/>
  <c r="AI71" i="4" s="1"/>
  <c r="AO71" i="4"/>
  <c r="AA466" i="5"/>
  <c r="AA483" i="5"/>
  <c r="AB483" i="5"/>
  <c r="AC84" i="5"/>
  <c r="AD84" i="5" s="1"/>
  <c r="AB412" i="5"/>
  <c r="AC252" i="5"/>
  <c r="AS252" i="5" s="1"/>
  <c r="AB349" i="5"/>
  <c r="AA555" i="5"/>
  <c r="AB505" i="5"/>
  <c r="AB512" i="5"/>
  <c r="AA490" i="5"/>
  <c r="AA451" i="5"/>
  <c r="AA232" i="5"/>
  <c r="AB46" i="5"/>
  <c r="AA520" i="5"/>
  <c r="AA536" i="5"/>
  <c r="Y103" i="4"/>
  <c r="Z103" i="4" s="1"/>
  <c r="AF103" i="4" s="1"/>
  <c r="AO103" i="4" s="1"/>
  <c r="AE103" i="4"/>
  <c r="X103" i="4"/>
  <c r="AJ103" i="4" s="1"/>
  <c r="Y95" i="4"/>
  <c r="Z95" i="4" s="1"/>
  <c r="AE95" i="4"/>
  <c r="X95" i="4"/>
  <c r="AJ95" i="4" s="1"/>
  <c r="U10" i="5"/>
  <c r="V10" i="5"/>
  <c r="AO9" i="4"/>
  <c r="AE126" i="4"/>
  <c r="Y126" i="4"/>
  <c r="Z126" i="4" s="1"/>
  <c r="AE64" i="4"/>
  <c r="Y64" i="4"/>
  <c r="Z64" i="4" s="1"/>
  <c r="AE27" i="4"/>
  <c r="X128" i="4"/>
  <c r="AJ128" i="4" s="1"/>
  <c r="Y128" i="4"/>
  <c r="Z128" i="4" s="1"/>
  <c r="AE128" i="4"/>
  <c r="Y69" i="4"/>
  <c r="Z69" i="4" s="1"/>
  <c r="X69" i="4"/>
  <c r="AJ69" i="4" s="1"/>
  <c r="AE69" i="4"/>
  <c r="X93" i="4"/>
  <c r="AJ93" i="4" s="1"/>
  <c r="AE93" i="4"/>
  <c r="Y93" i="4"/>
  <c r="Z93" i="4" s="1"/>
  <c r="X45" i="4"/>
  <c r="AJ45" i="4" s="1"/>
  <c r="Y45" i="4"/>
  <c r="Z45" i="4" s="1"/>
  <c r="AF45" i="4" s="1"/>
  <c r="AG45" i="4" s="1"/>
  <c r="AI45" i="4" s="1"/>
  <c r="AE45" i="4"/>
  <c r="AE150" i="4"/>
  <c r="Y150" i="4"/>
  <c r="Z150" i="4" s="1"/>
  <c r="X68" i="4"/>
  <c r="AJ68" i="4" s="1"/>
  <c r="AE68" i="4"/>
  <c r="Y68" i="4"/>
  <c r="Z68" i="4" s="1"/>
  <c r="AF68" i="4" s="1"/>
  <c r="AG68" i="4" s="1"/>
  <c r="AI68" i="4" s="1"/>
  <c r="AH10" i="5"/>
  <c r="AI10" i="5"/>
  <c r="AA89" i="5"/>
  <c r="AA308" i="5"/>
  <c r="AA58" i="5"/>
  <c r="AB493" i="5"/>
  <c r="AA423" i="5"/>
  <c r="AA454" i="5"/>
  <c r="AC358" i="5"/>
  <c r="AE358" i="5" s="1"/>
  <c r="AA418" i="5"/>
  <c r="AA395" i="5"/>
  <c r="AB474" i="5"/>
  <c r="AB524" i="5"/>
  <c r="AC527" i="5"/>
  <c r="AE527" i="5" s="1"/>
  <c r="AA489" i="5"/>
  <c r="AA193" i="5"/>
  <c r="AQ181" i="5"/>
  <c r="X38" i="4"/>
  <c r="AJ38" i="4" s="1"/>
  <c r="Y38" i="4"/>
  <c r="Z38" i="4" s="1"/>
  <c r="AE38" i="4"/>
  <c r="X134" i="4"/>
  <c r="AJ134" i="4" s="1"/>
  <c r="Y134" i="4"/>
  <c r="Z134" i="4" s="1"/>
  <c r="AE134" i="4"/>
  <c r="R10" i="5"/>
  <c r="S10" i="5"/>
  <c r="Y137" i="4"/>
  <c r="Z137" i="4" s="1"/>
  <c r="X137" i="4"/>
  <c r="AJ137" i="4" s="1"/>
  <c r="AE137" i="4"/>
  <c r="X44" i="4"/>
  <c r="AK44" i="4" s="1"/>
  <c r="AF70" i="4"/>
  <c r="AE44" i="4"/>
  <c r="AE111" i="4"/>
  <c r="X111" i="4"/>
  <c r="AJ111" i="4" s="1"/>
  <c r="AA286" i="5"/>
  <c r="AB300" i="5"/>
  <c r="AC286" i="5"/>
  <c r="AS286" i="5" s="1"/>
  <c r="AC467" i="5"/>
  <c r="AS467" i="5" s="1"/>
  <c r="AB342" i="5"/>
  <c r="AC89" i="5"/>
  <c r="AD89" i="5" s="1"/>
  <c r="AB439" i="5"/>
  <c r="AB308" i="5"/>
  <c r="AC535" i="5"/>
  <c r="AD535" i="5" s="1"/>
  <c r="AC144" i="5"/>
  <c r="AS144" i="5" s="1"/>
  <c r="AB58" i="5"/>
  <c r="AC397" i="5"/>
  <c r="AS397" i="5" s="1"/>
  <c r="AC493" i="5"/>
  <c r="AD493" i="5" s="1"/>
  <c r="AC454" i="5"/>
  <c r="AS454" i="5" s="1"/>
  <c r="AA324" i="5"/>
  <c r="AA358" i="5"/>
  <c r="AB147" i="5"/>
  <c r="AC418" i="5"/>
  <c r="AD418" i="5" s="1"/>
  <c r="AB395" i="5"/>
  <c r="AB558" i="5"/>
  <c r="AC474" i="5"/>
  <c r="AD474" i="5" s="1"/>
  <c r="AC373" i="5"/>
  <c r="AS373" i="5" s="1"/>
  <c r="AB527" i="5"/>
  <c r="AC489" i="5"/>
  <c r="AS489" i="5" s="1"/>
  <c r="AB446" i="5"/>
  <c r="AC448" i="5"/>
  <c r="AS448" i="5" s="1"/>
  <c r="AC340" i="5"/>
  <c r="AD340" i="5" s="1"/>
  <c r="AB144" i="5"/>
  <c r="AE54" i="4"/>
  <c r="Y54" i="4"/>
  <c r="Z54" i="4" s="1"/>
  <c r="X108" i="4"/>
  <c r="Y8" i="4"/>
  <c r="Z8" i="4" s="1"/>
  <c r="AE8" i="4"/>
  <c r="X8" i="4"/>
  <c r="AJ8" i="4" s="1"/>
  <c r="X27" i="4"/>
  <c r="AF44" i="4"/>
  <c r="X30" i="4"/>
  <c r="AJ30" i="4" s="1"/>
  <c r="X70" i="4"/>
  <c r="AK70" i="4" s="1"/>
  <c r="AE30" i="4"/>
  <c r="AB34" i="5"/>
  <c r="AA467" i="5"/>
  <c r="AA342" i="5"/>
  <c r="AB485" i="5"/>
  <c r="AC439" i="5"/>
  <c r="AE439" i="5" s="1"/>
  <c r="AB325" i="5"/>
  <c r="AB535" i="5"/>
  <c r="AC367" i="5"/>
  <c r="AE367" i="5" s="1"/>
  <c r="AA415" i="5"/>
  <c r="AA397" i="5"/>
  <c r="AC324" i="5"/>
  <c r="AS324" i="5" s="1"/>
  <c r="AA147" i="5"/>
  <c r="AA558" i="5"/>
  <c r="AB109" i="5"/>
  <c r="AA373" i="5"/>
  <c r="AA446" i="5"/>
  <c r="AB448" i="5"/>
  <c r="AA340" i="5"/>
  <c r="AR94" i="5"/>
  <c r="Y157" i="4"/>
  <c r="Z157" i="4" s="1"/>
  <c r="AE157" i="4"/>
  <c r="X19" i="4"/>
  <c r="AJ19" i="4" s="1"/>
  <c r="X127" i="4"/>
  <c r="AJ127" i="4" s="1"/>
  <c r="AA184" i="5"/>
  <c r="AC485" i="5"/>
  <c r="AS485" i="5" s="1"/>
  <c r="AA325" i="5"/>
  <c r="AC47" i="5"/>
  <c r="AE47" i="5" s="1"/>
  <c r="AB367" i="5"/>
  <c r="AC415" i="5"/>
  <c r="AE415" i="5" s="1"/>
  <c r="AB464" i="5"/>
  <c r="AC408" i="5"/>
  <c r="AS408" i="5" s="1"/>
  <c r="AC312" i="5"/>
  <c r="AS312" i="5" s="1"/>
  <c r="AC443" i="5"/>
  <c r="AE443" i="5" s="1"/>
  <c r="AC109" i="5"/>
  <c r="AS109" i="5" s="1"/>
  <c r="AC547" i="5"/>
  <c r="AE547" i="5" s="1"/>
  <c r="AE43" i="4"/>
  <c r="AA81" i="5"/>
  <c r="Y77" i="4"/>
  <c r="Z77" i="4" s="1"/>
  <c r="AE77" i="4"/>
  <c r="AE86" i="4"/>
  <c r="X86" i="4"/>
  <c r="AJ86" i="4" s="1"/>
  <c r="Y86" i="4"/>
  <c r="Z86" i="4" s="1"/>
  <c r="AE19" i="4"/>
  <c r="AB184" i="5"/>
  <c r="AB81" i="5"/>
  <c r="X63" i="4"/>
  <c r="AJ63" i="4" s="1"/>
  <c r="AF123" i="4"/>
  <c r="X10" i="5"/>
  <c r="Y10" i="5"/>
  <c r="Y116" i="4"/>
  <c r="Z116" i="4" s="1"/>
  <c r="AE116" i="4"/>
  <c r="X100" i="4"/>
  <c r="AJ100" i="4" s="1"/>
  <c r="AE100" i="4"/>
  <c r="Y100" i="4"/>
  <c r="Z100" i="4" s="1"/>
  <c r="X71" i="4"/>
  <c r="AJ71" i="4" s="1"/>
  <c r="AG40" i="4"/>
  <c r="AI40" i="4" s="1"/>
  <c r="AO40" i="4"/>
  <c r="X116" i="4"/>
  <c r="AC192" i="5"/>
  <c r="AS192" i="5" s="1"/>
  <c r="AB242" i="5"/>
  <c r="AC549" i="5"/>
  <c r="AD549" i="5" s="1"/>
  <c r="AA145" i="5"/>
  <c r="AB145" i="5"/>
  <c r="AC149" i="5"/>
  <c r="AS149" i="5" s="1"/>
  <c r="AA264" i="5"/>
  <c r="AA528" i="5"/>
  <c r="AB51" i="5"/>
  <c r="AA476" i="5"/>
  <c r="AA33" i="5"/>
  <c r="AC445" i="5"/>
  <c r="AS445" i="5" s="1"/>
  <c r="AA553" i="5"/>
  <c r="AB24" i="5"/>
  <c r="AA398" i="5"/>
  <c r="AC88" i="5"/>
  <c r="AE88" i="5" s="1"/>
  <c r="AC368" i="5"/>
  <c r="AD368" i="5" s="1"/>
  <c r="AB406" i="5"/>
  <c r="AA497" i="5"/>
  <c r="AA136" i="5"/>
  <c r="AC431" i="5"/>
  <c r="AD431" i="5" s="1"/>
  <c r="AC519" i="5"/>
  <c r="AD519" i="5" s="1"/>
  <c r="AB191" i="5"/>
  <c r="AC484" i="5"/>
  <c r="AS484" i="5" s="1"/>
  <c r="AC461" i="5"/>
  <c r="AS461" i="5" s="1"/>
  <c r="AC207" i="5"/>
  <c r="AD207" i="5" s="1"/>
  <c r="AB41" i="5"/>
  <c r="AC538" i="5"/>
  <c r="AS538" i="5" s="1"/>
  <c r="AB200" i="5"/>
  <c r="AA314" i="5"/>
  <c r="AC61" i="5"/>
  <c r="AD61" i="5" s="1"/>
  <c r="AB215" i="5"/>
  <c r="AC87" i="5"/>
  <c r="AS87" i="5" s="1"/>
  <c r="AA67" i="5"/>
  <c r="AA126" i="5"/>
  <c r="AB384" i="5"/>
  <c r="AC503" i="5"/>
  <c r="AE503" i="5" s="1"/>
  <c r="AB264" i="5"/>
  <c r="AA153" i="5"/>
  <c r="AB110" i="5"/>
  <c r="AB316" i="5"/>
  <c r="AB437" i="5"/>
  <c r="AA148" i="5"/>
  <c r="AB476" i="5"/>
  <c r="AB33" i="5"/>
  <c r="AA138" i="5"/>
  <c r="AB76" i="5"/>
  <c r="AA24" i="5"/>
  <c r="AB88" i="5"/>
  <c r="AC510" i="5"/>
  <c r="AD510" i="5" s="1"/>
  <c r="AC545" i="5"/>
  <c r="AD545" i="5" s="1"/>
  <c r="AB459" i="5"/>
  <c r="AB40" i="5"/>
  <c r="AC91" i="5"/>
  <c r="AS91" i="5" s="1"/>
  <c r="AB136" i="5"/>
  <c r="AC191" i="5"/>
  <c r="AE191" i="5" s="1"/>
  <c r="AA484" i="5"/>
  <c r="AA461" i="5"/>
  <c r="AA207" i="5"/>
  <c r="AC276" i="5"/>
  <c r="AD276" i="5" s="1"/>
  <c r="AA538" i="5"/>
  <c r="AB173" i="5"/>
  <c r="AB388" i="5"/>
  <c r="AB126" i="5"/>
  <c r="B112" i="2"/>
  <c r="B154" i="2" s="1"/>
  <c r="H40" i="1" s="1"/>
  <c r="AB9" i="5"/>
  <c r="AA9" i="5"/>
  <c r="AC9" i="5"/>
  <c r="AC118" i="5"/>
  <c r="AS118" i="5" s="1"/>
  <c r="AB219" i="5"/>
  <c r="AC212" i="5"/>
  <c r="AS212" i="5" s="1"/>
  <c r="AA503" i="5"/>
  <c r="AA549" i="5"/>
  <c r="AC531" i="5"/>
  <c r="AD531" i="5" s="1"/>
  <c r="AB350" i="5"/>
  <c r="AC487" i="5"/>
  <c r="AD487" i="5" s="1"/>
  <c r="AA422" i="5"/>
  <c r="AA482" i="5"/>
  <c r="AA468" i="5"/>
  <c r="AA479" i="5"/>
  <c r="AA518" i="5"/>
  <c r="AB530" i="5"/>
  <c r="AA515" i="5"/>
  <c r="AC256" i="5"/>
  <c r="AS256" i="5" s="1"/>
  <c r="AA531" i="5"/>
  <c r="AC557" i="5"/>
  <c r="AS557" i="5" s="1"/>
  <c r="AA364" i="5"/>
  <c r="AC372" i="5"/>
  <c r="AE372" i="5" s="1"/>
  <c r="AB479" i="5"/>
  <c r="AA192" i="5"/>
  <c r="AC242" i="5"/>
  <c r="AD242" i="5" s="1"/>
  <c r="AB507" i="5"/>
  <c r="AA75" i="5"/>
  <c r="AC130" i="5"/>
  <c r="AS130" i="5" s="1"/>
  <c r="AB557" i="5"/>
  <c r="AC554" i="5"/>
  <c r="AS554" i="5" s="1"/>
  <c r="AB216" i="5"/>
  <c r="AA35" i="5"/>
  <c r="AB482" i="5"/>
  <c r="AA250" i="5"/>
  <c r="AC364" i="5"/>
  <c r="AE364" i="5" s="1"/>
  <c r="AA57" i="5"/>
  <c r="AA372" i="5"/>
  <c r="AC389" i="5"/>
  <c r="AE389" i="5" s="1"/>
  <c r="AA212" i="5"/>
  <c r="AB285" i="5"/>
  <c r="AB389" i="5"/>
  <c r="AA285" i="5"/>
  <c r="AA257" i="5"/>
  <c r="AB528" i="5"/>
  <c r="AC507" i="5"/>
  <c r="AD507" i="5" s="1"/>
  <c r="AB75" i="5"/>
  <c r="AB130" i="5"/>
  <c r="AC51" i="5"/>
  <c r="AE51" i="5" s="1"/>
  <c r="AB554" i="5"/>
  <c r="AA216" i="5"/>
  <c r="AB398" i="5"/>
  <c r="B118" i="2"/>
  <c r="B99" i="2" s="1"/>
  <c r="B119" i="2" s="1"/>
  <c r="AB35" i="5"/>
  <c r="AC497" i="5"/>
  <c r="AE497" i="5" s="1"/>
  <c r="AC41" i="5"/>
  <c r="AD41" i="5" s="1"/>
  <c r="AC57" i="5"/>
  <c r="AD57" i="5" s="1"/>
  <c r="AC215" i="5"/>
  <c r="AS215" i="5" s="1"/>
  <c r="AB257" i="5"/>
  <c r="AA200" i="5"/>
  <c r="AE92" i="4"/>
  <c r="AE136" i="4"/>
  <c r="AE49" i="4"/>
  <c r="X99" i="4"/>
  <c r="AJ99" i="4" s="1"/>
  <c r="X74" i="4"/>
  <c r="AJ74" i="4" s="1"/>
  <c r="AE55" i="4"/>
  <c r="X151" i="4"/>
  <c r="AJ151" i="4" s="1"/>
  <c r="AE106" i="4"/>
  <c r="AE53" i="4"/>
  <c r="B115" i="2"/>
  <c r="B96" i="2" s="1"/>
  <c r="B116" i="2" s="1"/>
  <c r="X81" i="4"/>
  <c r="AJ81" i="4" s="1"/>
  <c r="AE87" i="4"/>
  <c r="X117" i="4"/>
  <c r="AJ117" i="4" s="1"/>
  <c r="X75" i="4"/>
  <c r="AJ75" i="4" s="1"/>
  <c r="AE147" i="4"/>
  <c r="X80" i="4"/>
  <c r="AJ80" i="4" s="1"/>
  <c r="X124" i="4"/>
  <c r="AJ124" i="4" s="1"/>
  <c r="X122" i="4"/>
  <c r="AJ122" i="4" s="1"/>
  <c r="AE114" i="4"/>
  <c r="AF85" i="4"/>
  <c r="AG85" i="4" s="1"/>
  <c r="AI85" i="4" s="1"/>
  <c r="AE50" i="4"/>
  <c r="AE13" i="4"/>
  <c r="X65" i="4"/>
  <c r="AJ65" i="4" s="1"/>
  <c r="X82" i="4"/>
  <c r="AJ82" i="4" s="1"/>
  <c r="X13" i="4"/>
  <c r="AJ13" i="4" s="1"/>
  <c r="AE36" i="4"/>
  <c r="AE89" i="4"/>
  <c r="X85" i="4"/>
  <c r="AJ85" i="4" s="1"/>
  <c r="X89" i="4"/>
  <c r="AJ89" i="4" s="1"/>
  <c r="AE120" i="4"/>
  <c r="X51" i="4"/>
  <c r="AJ51" i="4" s="1"/>
  <c r="AF17" i="4"/>
  <c r="AG17" i="4" s="1"/>
  <c r="AI17" i="4" s="1"/>
  <c r="AF139" i="4"/>
  <c r="AO139" i="4" s="1"/>
  <c r="AF97" i="4"/>
  <c r="AO97" i="4" s="1"/>
  <c r="AF49" i="4"/>
  <c r="AO49" i="4" s="1"/>
  <c r="AF81" i="4"/>
  <c r="AG81" i="4" s="1"/>
  <c r="AI81" i="4" s="1"/>
  <c r="AF114" i="4"/>
  <c r="AO114" i="4" s="1"/>
  <c r="X41" i="4"/>
  <c r="AK41" i="4" s="1"/>
  <c r="AE97" i="4"/>
  <c r="X153" i="4"/>
  <c r="AJ153" i="4" s="1"/>
  <c r="X92" i="4"/>
  <c r="AJ92" i="4" s="1"/>
  <c r="X114" i="4"/>
  <c r="AJ114" i="4" s="1"/>
  <c r="AE117" i="4"/>
  <c r="AE41" i="4"/>
  <c r="AE17" i="4"/>
  <c r="AE33" i="4"/>
  <c r="AE60" i="4"/>
  <c r="AE113" i="4"/>
  <c r="X104" i="4"/>
  <c r="AK104" i="4" s="1"/>
  <c r="X138" i="4"/>
  <c r="AJ138" i="4" s="1"/>
  <c r="X55" i="4"/>
  <c r="AJ55" i="4" s="1"/>
  <c r="AE80" i="4"/>
  <c r="X97" i="4"/>
  <c r="AJ97" i="4" s="1"/>
  <c r="X120" i="4"/>
  <c r="AJ120" i="4" s="1"/>
  <c r="AA98" i="4"/>
  <c r="AC98" i="4" s="1"/>
  <c r="AD98" i="4" s="1"/>
  <c r="AE151" i="4"/>
  <c r="X136" i="4"/>
  <c r="AJ136" i="4" s="1"/>
  <c r="Z120" i="4"/>
  <c r="X17" i="4"/>
  <c r="AJ17" i="4" s="1"/>
  <c r="B76" i="2"/>
  <c r="X113" i="4"/>
  <c r="AJ113" i="4" s="1"/>
  <c r="AG98" i="4"/>
  <c r="AI98" i="4" s="1"/>
  <c r="AO98" i="4"/>
  <c r="AG151" i="4"/>
  <c r="AI151" i="4" s="1"/>
  <c r="AO151" i="4"/>
  <c r="AG74" i="4"/>
  <c r="AI74" i="4" s="1"/>
  <c r="AO74" i="4"/>
  <c r="AG89" i="4"/>
  <c r="AI89" i="4" s="1"/>
  <c r="AO89" i="4"/>
  <c r="AG25" i="4"/>
  <c r="AI25" i="4" s="1"/>
  <c r="AG82" i="4"/>
  <c r="AI82" i="4" s="1"/>
  <c r="AO82" i="4"/>
  <c r="AF80" i="4"/>
  <c r="AF11" i="4"/>
  <c r="AG78" i="4"/>
  <c r="AI78" i="4" s="1"/>
  <c r="AO78" i="4"/>
  <c r="AQ484" i="5"/>
  <c r="AR484" i="5"/>
  <c r="AQ500" i="5"/>
  <c r="AR500" i="5"/>
  <c r="AR347" i="5"/>
  <c r="AQ347" i="5"/>
  <c r="AQ341" i="5"/>
  <c r="AR341" i="5"/>
  <c r="AG106" i="4"/>
  <c r="AI106" i="4" s="1"/>
  <c r="AO106" i="4"/>
  <c r="AQ409" i="5"/>
  <c r="AR409" i="5"/>
  <c r="AR61" i="5"/>
  <c r="AQ61" i="5"/>
  <c r="B81" i="2"/>
  <c r="B82" i="2" s="1"/>
  <c r="H22" i="1" s="1"/>
  <c r="AR102" i="5"/>
  <c r="AQ102" i="5"/>
  <c r="AR120" i="5"/>
  <c r="AQ120" i="5"/>
  <c r="X32" i="4"/>
  <c r="AQ53" i="5"/>
  <c r="AR53" i="5"/>
  <c r="AR515" i="5"/>
  <c r="AQ515" i="5"/>
  <c r="AQ293" i="5"/>
  <c r="AR293" i="5"/>
  <c r="AR559" i="5"/>
  <c r="AQ559" i="5"/>
  <c r="AE131" i="4"/>
  <c r="AR8" i="5"/>
  <c r="AQ8" i="5"/>
  <c r="AQ223" i="5"/>
  <c r="AR223" i="5"/>
  <c r="AF156" i="4"/>
  <c r="AQ200" i="5"/>
  <c r="AR200" i="5"/>
  <c r="AQ519" i="5"/>
  <c r="AR519" i="5"/>
  <c r="AQ106" i="5"/>
  <c r="AR106" i="5"/>
  <c r="AQ289" i="5"/>
  <c r="AR289" i="5"/>
  <c r="AR235" i="5"/>
  <c r="AQ235" i="5"/>
  <c r="AQ343" i="5"/>
  <c r="AR343" i="5"/>
  <c r="AR456" i="5"/>
  <c r="AQ456" i="5"/>
  <c r="AQ96" i="5"/>
  <c r="AR96" i="5"/>
  <c r="X106" i="4"/>
  <c r="AA106" i="4" s="1"/>
  <c r="AC106" i="4" s="1"/>
  <c r="AD106" i="4" s="1"/>
  <c r="AE85" i="4"/>
  <c r="AQ203" i="5"/>
  <c r="AR203" i="5"/>
  <c r="AR553" i="5"/>
  <c r="AQ553" i="5"/>
  <c r="AR151" i="5"/>
  <c r="AQ151" i="5"/>
  <c r="AQ424" i="5"/>
  <c r="AR424" i="5"/>
  <c r="AQ464" i="5"/>
  <c r="AR464" i="5"/>
  <c r="AQ320" i="5"/>
  <c r="AR320" i="5"/>
  <c r="AQ504" i="5"/>
  <c r="AR504" i="5"/>
  <c r="AQ137" i="5"/>
  <c r="AR137" i="5"/>
  <c r="AQ393" i="5"/>
  <c r="AR393" i="5"/>
  <c r="AR391" i="5"/>
  <c r="AQ391" i="5"/>
  <c r="AR268" i="5"/>
  <c r="AQ268" i="5"/>
  <c r="AQ400" i="5"/>
  <c r="AR400" i="5"/>
  <c r="AF154" i="4"/>
  <c r="AE48" i="4"/>
  <c r="AR303" i="5"/>
  <c r="AQ303" i="5"/>
  <c r="AQ32" i="5"/>
  <c r="AR32" i="5"/>
  <c r="AR523" i="5"/>
  <c r="AQ523" i="5"/>
  <c r="AR242" i="5"/>
  <c r="AQ242" i="5"/>
  <c r="X119" i="4"/>
  <c r="AA119" i="4" s="1"/>
  <c r="AC119" i="4" s="1"/>
  <c r="AD119" i="4" s="1"/>
  <c r="X48" i="4"/>
  <c r="X49" i="4"/>
  <c r="AA49" i="4" s="1"/>
  <c r="AC49" i="4" s="1"/>
  <c r="AD49" i="4" s="1"/>
  <c r="AQ538" i="5"/>
  <c r="AR538" i="5"/>
  <c r="AQ505" i="5"/>
  <c r="AR505" i="5"/>
  <c r="AQ408" i="5"/>
  <c r="AR408" i="5"/>
  <c r="AQ468" i="5"/>
  <c r="AR468" i="5"/>
  <c r="AQ208" i="5"/>
  <c r="AR208" i="5"/>
  <c r="AE11" i="4"/>
  <c r="AR508" i="5"/>
  <c r="AQ508" i="5"/>
  <c r="AR532" i="5"/>
  <c r="AQ532" i="5"/>
  <c r="AR443" i="5"/>
  <c r="AQ443" i="5"/>
  <c r="AE153" i="4"/>
  <c r="AF33" i="4"/>
  <c r="AD371" i="5"/>
  <c r="AQ480" i="5"/>
  <c r="AR480" i="5"/>
  <c r="AR111" i="5"/>
  <c r="AQ111" i="5"/>
  <c r="AQ180" i="5"/>
  <c r="AR180" i="5"/>
  <c r="AR503" i="5"/>
  <c r="AQ503" i="5"/>
  <c r="AQ156" i="5"/>
  <c r="AR156" i="5"/>
  <c r="AR99" i="5"/>
  <c r="AQ99" i="5"/>
  <c r="AQ358" i="5"/>
  <c r="AR358" i="5"/>
  <c r="AQ439" i="5"/>
  <c r="AR439" i="5"/>
  <c r="AQ509" i="5"/>
  <c r="AR509" i="5"/>
  <c r="AQ230" i="5"/>
  <c r="AR230" i="5"/>
  <c r="AR115" i="5"/>
  <c r="AQ115" i="5"/>
  <c r="AQ256" i="5"/>
  <c r="AR256" i="5"/>
  <c r="AR546" i="5"/>
  <c r="AQ546" i="5"/>
  <c r="AQ207" i="5"/>
  <c r="AR207" i="5"/>
  <c r="AE90" i="4"/>
  <c r="AQ466" i="5"/>
  <c r="AR466" i="5"/>
  <c r="Y13" i="5"/>
  <c r="X13" i="5"/>
  <c r="AO112" i="4"/>
  <c r="AG112" i="4"/>
  <c r="AI112" i="4" s="1"/>
  <c r="AR265" i="5"/>
  <c r="AQ265" i="5"/>
  <c r="AR107" i="5"/>
  <c r="AQ107" i="5"/>
  <c r="AQ367" i="5"/>
  <c r="AR367" i="5"/>
  <c r="AR286" i="5"/>
  <c r="AQ286" i="5"/>
  <c r="AQ228" i="5"/>
  <c r="AR228" i="5"/>
  <c r="AR266" i="5"/>
  <c r="AQ266" i="5"/>
  <c r="AR248" i="5"/>
  <c r="AQ248" i="5"/>
  <c r="AR168" i="5"/>
  <c r="AQ168" i="5"/>
  <c r="AR427" i="5"/>
  <c r="AQ427" i="5"/>
  <c r="AG36" i="4"/>
  <c r="AI36" i="4" s="1"/>
  <c r="AQ399" i="5"/>
  <c r="AR399" i="5"/>
  <c r="AR164" i="5"/>
  <c r="AQ164" i="5"/>
  <c r="AQ329" i="5"/>
  <c r="AR329" i="5"/>
  <c r="AR63" i="5"/>
  <c r="AQ63" i="5"/>
  <c r="AR123" i="5"/>
  <c r="AQ123" i="5"/>
  <c r="AE206" i="5"/>
  <c r="AQ534" i="5"/>
  <c r="AR534" i="5"/>
  <c r="AR376" i="5"/>
  <c r="AQ376" i="5"/>
  <c r="AR28" i="5"/>
  <c r="AQ28" i="5"/>
  <c r="AQ526" i="5"/>
  <c r="AR526" i="5"/>
  <c r="AQ472" i="5"/>
  <c r="AR472" i="5"/>
  <c r="AR275" i="5"/>
  <c r="AQ275" i="5"/>
  <c r="AR198" i="5"/>
  <c r="AQ198" i="5"/>
  <c r="AG136" i="4"/>
  <c r="AI136" i="4" s="1"/>
  <c r="AO136" i="4"/>
  <c r="AQ482" i="5"/>
  <c r="AR482" i="5"/>
  <c r="AQ75" i="5"/>
  <c r="AR75" i="5"/>
  <c r="AQ170" i="5"/>
  <c r="AR170" i="5"/>
  <c r="AQ139" i="5"/>
  <c r="AR139" i="5"/>
  <c r="AG41" i="4"/>
  <c r="AI41" i="4" s="1"/>
  <c r="AO41" i="4"/>
  <c r="AQ529" i="5"/>
  <c r="AR529" i="5"/>
  <c r="AE115" i="4"/>
  <c r="AQ403" i="5"/>
  <c r="AR403" i="5"/>
  <c r="AR389" i="5"/>
  <c r="AQ389" i="5"/>
  <c r="AR352" i="5"/>
  <c r="AQ352" i="5"/>
  <c r="AR555" i="5"/>
  <c r="AQ555" i="5"/>
  <c r="AR366" i="5"/>
  <c r="AQ366" i="5"/>
  <c r="AF29" i="4"/>
  <c r="X156" i="4"/>
  <c r="AA156" i="4" s="1"/>
  <c r="AC156" i="4" s="1"/>
  <c r="AD156" i="4" s="1"/>
  <c r="AQ458" i="5"/>
  <c r="AR458" i="5"/>
  <c r="AQ297" i="5"/>
  <c r="AR297" i="5"/>
  <c r="AQ84" i="5"/>
  <c r="AR84" i="5"/>
  <c r="AQ249" i="5"/>
  <c r="AR249" i="5"/>
  <c r="AR27" i="5"/>
  <c r="AQ27" i="5"/>
  <c r="AQ271" i="5"/>
  <c r="AR271" i="5"/>
  <c r="X16" i="4"/>
  <c r="AJ16" i="4" s="1"/>
  <c r="AQ294" i="5"/>
  <c r="AR294" i="5"/>
  <c r="AE81" i="4"/>
  <c r="AR149" i="5"/>
  <c r="AQ149" i="5"/>
  <c r="AR197" i="5"/>
  <c r="AQ197" i="5"/>
  <c r="AR52" i="5"/>
  <c r="AQ52" i="5"/>
  <c r="AQ373" i="5"/>
  <c r="AR373" i="5"/>
  <c r="AQ469" i="5"/>
  <c r="AR469" i="5"/>
  <c r="AG87" i="4"/>
  <c r="AI87" i="4" s="1"/>
  <c r="AE29" i="4"/>
  <c r="AR253" i="5"/>
  <c r="AQ253" i="5"/>
  <c r="AR100" i="5"/>
  <c r="AQ100" i="5"/>
  <c r="AL13" i="5"/>
  <c r="AK13" i="5"/>
  <c r="AQ76" i="5"/>
  <c r="AR76" i="5"/>
  <c r="AF153" i="4"/>
  <c r="AR224" i="5"/>
  <c r="AQ224" i="5"/>
  <c r="AQ55" i="5"/>
  <c r="AR55" i="5"/>
  <c r="AQ336" i="5"/>
  <c r="AR336" i="5"/>
  <c r="AR288" i="5"/>
  <c r="AQ288" i="5"/>
  <c r="AF50" i="4"/>
  <c r="AE107" i="4"/>
  <c r="AR85" i="5"/>
  <c r="AQ85" i="5"/>
  <c r="AR501" i="5"/>
  <c r="AQ501" i="5"/>
  <c r="X53" i="4"/>
  <c r="AA53" i="4" s="1"/>
  <c r="AC53" i="4" s="1"/>
  <c r="AD53" i="4" s="1"/>
  <c r="AQ251" i="5"/>
  <c r="AR251" i="5"/>
  <c r="AQ236" i="5"/>
  <c r="AR236" i="5"/>
  <c r="AR243" i="5"/>
  <c r="AQ243" i="5"/>
  <c r="AR471" i="5"/>
  <c r="AQ471" i="5"/>
  <c r="AQ435" i="5"/>
  <c r="AR435" i="5"/>
  <c r="AQ213" i="5"/>
  <c r="AR213" i="5"/>
  <c r="AQ513" i="5"/>
  <c r="AR513" i="5"/>
  <c r="AE32" i="4"/>
  <c r="AR334" i="5"/>
  <c r="AQ334" i="5"/>
  <c r="AQ395" i="5"/>
  <c r="AR395" i="5"/>
  <c r="AO13" i="5"/>
  <c r="AN13" i="5"/>
  <c r="AQ323" i="5"/>
  <c r="AR323" i="5"/>
  <c r="AO53" i="4"/>
  <c r="AG53" i="4"/>
  <c r="AI53" i="4" s="1"/>
  <c r="AR292" i="5"/>
  <c r="AQ292" i="5"/>
  <c r="AQ499" i="5"/>
  <c r="AR499" i="5"/>
  <c r="Z32" i="4"/>
  <c r="AQ33" i="5"/>
  <c r="AR33" i="5"/>
  <c r="AR331" i="5"/>
  <c r="AQ331" i="5"/>
  <c r="AQ537" i="5"/>
  <c r="AR537" i="5"/>
  <c r="AQ91" i="5"/>
  <c r="AR91" i="5"/>
  <c r="AQ161" i="5"/>
  <c r="AR161" i="5"/>
  <c r="AQ163" i="5"/>
  <c r="AR163" i="5"/>
  <c r="AQ272" i="5"/>
  <c r="AR272" i="5"/>
  <c r="AR31" i="5"/>
  <c r="AQ31" i="5"/>
  <c r="AQ349" i="5"/>
  <c r="AR349" i="5"/>
  <c r="AQ206" i="5"/>
  <c r="AR206" i="5"/>
  <c r="AR425" i="5"/>
  <c r="AQ425" i="5"/>
  <c r="AQ195" i="5"/>
  <c r="AR195" i="5"/>
  <c r="AQ29" i="5"/>
  <c r="AR29" i="5"/>
  <c r="AR108" i="5"/>
  <c r="AQ108" i="5"/>
  <c r="AR41" i="5"/>
  <c r="AQ41" i="5"/>
  <c r="AF56" i="4"/>
  <c r="X110" i="4"/>
  <c r="AA110" i="4" s="1"/>
  <c r="AC110" i="4" s="1"/>
  <c r="AD110" i="4" s="1"/>
  <c r="X121" i="4"/>
  <c r="AA121" i="4" s="1"/>
  <c r="AC121" i="4" s="1"/>
  <c r="AD121" i="4" s="1"/>
  <c r="X115" i="4"/>
  <c r="AF107" i="4"/>
  <c r="AR449" i="5"/>
  <c r="AQ449" i="5"/>
  <c r="AQ473" i="5"/>
  <c r="AR473" i="5"/>
  <c r="AQ136" i="5"/>
  <c r="AR136" i="5"/>
  <c r="AQ441" i="5"/>
  <c r="AR441" i="5"/>
  <c r="AQ361" i="5"/>
  <c r="AR361" i="5"/>
  <c r="AQ430" i="5"/>
  <c r="AR430" i="5"/>
  <c r="AR113" i="5"/>
  <c r="AQ113" i="5"/>
  <c r="AR240" i="5"/>
  <c r="AQ240" i="5"/>
  <c r="AQ285" i="5"/>
  <c r="AR285" i="5"/>
  <c r="AQ263" i="5"/>
  <c r="AR263" i="5"/>
  <c r="AR154" i="5"/>
  <c r="AQ154" i="5"/>
  <c r="AQ124" i="5"/>
  <c r="AR124" i="5"/>
  <c r="X11" i="4"/>
  <c r="AJ11" i="4" s="1"/>
  <c r="AR40" i="5"/>
  <c r="AQ40" i="5"/>
  <c r="Z131" i="4"/>
  <c r="AF131" i="4" s="1"/>
  <c r="AR363" i="5"/>
  <c r="AQ363" i="5"/>
  <c r="AB13" i="5"/>
  <c r="AA13" i="5"/>
  <c r="AQ549" i="5"/>
  <c r="AR549" i="5"/>
  <c r="AE104" i="4"/>
  <c r="AQ446" i="5"/>
  <c r="AR446" i="5"/>
  <c r="AR543" i="5"/>
  <c r="AQ543" i="5"/>
  <c r="AF138" i="4"/>
  <c r="AF122" i="4"/>
  <c r="AE124" i="4"/>
  <c r="AQ414" i="5"/>
  <c r="AR414" i="5"/>
  <c r="AQ407" i="5"/>
  <c r="AR407" i="5"/>
  <c r="AR215" i="5"/>
  <c r="AQ215" i="5"/>
  <c r="AE154" i="4"/>
  <c r="AQ431" i="5"/>
  <c r="AR431" i="5"/>
  <c r="AR7" i="5"/>
  <c r="AQ7" i="5"/>
  <c r="Z90" i="4"/>
  <c r="AF90" i="4" s="1"/>
  <c r="AR369" i="5"/>
  <c r="AQ369" i="5"/>
  <c r="AR177" i="5"/>
  <c r="AQ177" i="5"/>
  <c r="AR46" i="5"/>
  <c r="AQ46" i="5"/>
  <c r="AR80" i="5"/>
  <c r="AQ80" i="5"/>
  <c r="AQ362" i="5"/>
  <c r="AR362" i="5"/>
  <c r="AE65" i="4"/>
  <c r="AR411" i="5"/>
  <c r="AQ411" i="5"/>
  <c r="AQ97" i="5"/>
  <c r="AR97" i="5"/>
  <c r="AQ90" i="5"/>
  <c r="AR90" i="5"/>
  <c r="AQ19" i="5"/>
  <c r="AR19" i="5"/>
  <c r="AR308" i="5"/>
  <c r="AQ308" i="5"/>
  <c r="AQ188" i="5"/>
  <c r="AR188" i="5"/>
  <c r="AE110" i="4"/>
  <c r="AR121" i="5"/>
  <c r="AQ121" i="5"/>
  <c r="AQ241" i="5"/>
  <c r="AR241" i="5"/>
  <c r="X42" i="4"/>
  <c r="AQ311" i="5"/>
  <c r="AR311" i="5"/>
  <c r="AR193" i="5"/>
  <c r="AQ193" i="5"/>
  <c r="AQ445" i="5"/>
  <c r="AR445" i="5"/>
  <c r="S13" i="5"/>
  <c r="R13" i="5"/>
  <c r="AD522" i="5"/>
  <c r="AS522" i="5"/>
  <c r="AE522" i="5"/>
  <c r="AQ269" i="5"/>
  <c r="AR269" i="5"/>
  <c r="AQ209" i="5"/>
  <c r="AR209" i="5"/>
  <c r="AQ433" i="5"/>
  <c r="AR433" i="5"/>
  <c r="AQ412" i="5"/>
  <c r="AR412" i="5"/>
  <c r="Z48" i="4"/>
  <c r="AF48" i="4" s="1"/>
  <c r="AR12" i="5"/>
  <c r="AQ12" i="5"/>
  <c r="AQ322" i="5"/>
  <c r="AR322" i="5"/>
  <c r="AR514" i="5"/>
  <c r="AQ514" i="5"/>
  <c r="AE112" i="4"/>
  <c r="AE78" i="4"/>
  <c r="AF55" i="4"/>
  <c r="Z113" i="4"/>
  <c r="AF113" i="4" s="1"/>
  <c r="AR152" i="5"/>
  <c r="AQ152" i="5"/>
  <c r="AQ95" i="5"/>
  <c r="AR95" i="5"/>
  <c r="AR479" i="5"/>
  <c r="AQ479" i="5"/>
  <c r="AQ502" i="5"/>
  <c r="AR502" i="5"/>
  <c r="AQ518" i="5"/>
  <c r="AR518" i="5"/>
  <c r="AQ167" i="5"/>
  <c r="AR167" i="5"/>
  <c r="AE42" i="4"/>
  <c r="AF28" i="4"/>
  <c r="AQ442" i="5"/>
  <c r="AR442" i="5"/>
  <c r="AQ59" i="5"/>
  <c r="AR59" i="5"/>
  <c r="AR277" i="5"/>
  <c r="AQ277" i="5"/>
  <c r="AD523" i="5"/>
  <c r="AQ221" i="5"/>
  <c r="AR221" i="5"/>
  <c r="AQ310" i="5"/>
  <c r="AR310" i="5"/>
  <c r="AQ204" i="5"/>
  <c r="AR204" i="5"/>
  <c r="AR375" i="5"/>
  <c r="AQ375" i="5"/>
  <c r="AR507" i="5"/>
  <c r="AQ507" i="5"/>
  <c r="AQ191" i="5"/>
  <c r="AR191" i="5"/>
  <c r="AR298" i="5"/>
  <c r="AQ298" i="5"/>
  <c r="AQ357" i="5"/>
  <c r="AR357" i="5"/>
  <c r="AR309" i="5"/>
  <c r="AQ309" i="5"/>
  <c r="AQ478" i="5"/>
  <c r="AR478" i="5"/>
  <c r="AR89" i="5"/>
  <c r="AQ89" i="5"/>
  <c r="AR174" i="5"/>
  <c r="AQ174" i="5"/>
  <c r="AE56" i="4"/>
  <c r="AR385" i="5"/>
  <c r="AQ385" i="5"/>
  <c r="AR342" i="5"/>
  <c r="AQ342" i="5"/>
  <c r="AR186" i="5"/>
  <c r="AQ186" i="5"/>
  <c r="AQ282" i="5"/>
  <c r="AR282" i="5"/>
  <c r="AR57" i="5"/>
  <c r="AQ57" i="5"/>
  <c r="AQ440" i="5"/>
  <c r="AR440" i="5"/>
  <c r="AQ264" i="5"/>
  <c r="AR264" i="5"/>
  <c r="AQ467" i="5"/>
  <c r="AR467" i="5"/>
  <c r="AR162" i="5"/>
  <c r="AQ162" i="5"/>
  <c r="AQ419" i="5"/>
  <c r="AR419" i="5"/>
  <c r="AF121" i="4"/>
  <c r="AE16" i="4"/>
  <c r="AR295" i="5"/>
  <c r="AQ295" i="5"/>
  <c r="X139" i="4"/>
  <c r="AA139" i="4" s="1"/>
  <c r="AC139" i="4" s="1"/>
  <c r="AD139" i="4" s="1"/>
  <c r="X107" i="4"/>
  <c r="AA107" i="4" s="1"/>
  <c r="AC107" i="4" s="1"/>
  <c r="AD107" i="4" s="1"/>
  <c r="X29" i="4"/>
  <c r="AA29" i="4" s="1"/>
  <c r="AC29" i="4" s="1"/>
  <c r="AD29" i="4" s="1"/>
  <c r="X60" i="4"/>
  <c r="AR116" i="5"/>
  <c r="AQ116" i="5"/>
  <c r="AR145" i="5"/>
  <c r="AQ145" i="5"/>
  <c r="AQ453" i="5"/>
  <c r="AR453" i="5"/>
  <c r="AQ220" i="5"/>
  <c r="AR220" i="5"/>
  <c r="AQ279" i="5"/>
  <c r="AR279" i="5"/>
  <c r="X147" i="4"/>
  <c r="AA147" i="4" s="1"/>
  <c r="AC147" i="4" s="1"/>
  <c r="AD147" i="4" s="1"/>
  <c r="AR128" i="5"/>
  <c r="AQ128" i="5"/>
  <c r="AQ415" i="5"/>
  <c r="AR415" i="5"/>
  <c r="X87" i="4"/>
  <c r="AA87" i="4" s="1"/>
  <c r="AC87" i="4" s="1"/>
  <c r="AD87" i="4" s="1"/>
  <c r="AQ328" i="5"/>
  <c r="AR328" i="5"/>
  <c r="AQ160" i="5"/>
  <c r="AR160" i="5"/>
  <c r="AH13" i="5"/>
  <c r="AP13" i="5"/>
  <c r="AI13" i="5"/>
  <c r="AQ475" i="5"/>
  <c r="AR475" i="5"/>
  <c r="AE119" i="4"/>
  <c r="AQ423" i="5"/>
  <c r="AR423" i="5"/>
  <c r="X154" i="4"/>
  <c r="AA154" i="4" s="1"/>
  <c r="AC154" i="4" s="1"/>
  <c r="AD154" i="4" s="1"/>
  <c r="X149" i="4"/>
  <c r="AQ35" i="5"/>
  <c r="AR35" i="5"/>
  <c r="AR155" i="5"/>
  <c r="AQ155" i="5"/>
  <c r="AQ351" i="5"/>
  <c r="AR351" i="5"/>
  <c r="AR114" i="5"/>
  <c r="AQ114" i="5"/>
  <c r="AR179" i="5"/>
  <c r="AQ179" i="5"/>
  <c r="AQ344" i="5"/>
  <c r="AR344" i="5"/>
  <c r="X78" i="4"/>
  <c r="AA78" i="4" s="1"/>
  <c r="AC78" i="4" s="1"/>
  <c r="AD78" i="4" s="1"/>
  <c r="X50" i="4"/>
  <c r="AA50" i="4" s="1"/>
  <c r="AC50" i="4" s="1"/>
  <c r="AD50" i="4" s="1"/>
  <c r="AE149" i="4"/>
  <c r="AQ459" i="5"/>
  <c r="AR459" i="5"/>
  <c r="AR172" i="5"/>
  <c r="AQ172" i="5"/>
  <c r="AR315" i="5"/>
  <c r="AQ315" i="5"/>
  <c r="AR196" i="5"/>
  <c r="AQ196" i="5"/>
  <c r="AQ325" i="5"/>
  <c r="AR325" i="5"/>
  <c r="AQ452" i="5"/>
  <c r="AR452" i="5"/>
  <c r="AR353" i="5"/>
  <c r="AQ353" i="5"/>
  <c r="AE139" i="4"/>
  <c r="AR68" i="5"/>
  <c r="AQ68" i="5"/>
  <c r="AQ62" i="5"/>
  <c r="AR62" i="5"/>
  <c r="AE99" i="4"/>
  <c r="X33" i="4"/>
  <c r="AA33" i="4" s="1"/>
  <c r="AC33" i="4" s="1"/>
  <c r="AD33" i="4" s="1"/>
  <c r="AQ299" i="5"/>
  <c r="AR299" i="5"/>
  <c r="AQ171" i="5"/>
  <c r="AR171" i="5"/>
  <c r="AO31" i="4"/>
  <c r="AR246" i="5"/>
  <c r="AQ246" i="5"/>
  <c r="AQ183" i="5"/>
  <c r="AR183" i="5"/>
  <c r="AR125" i="5"/>
  <c r="AQ125" i="5"/>
  <c r="AQ50" i="5"/>
  <c r="AR50" i="5"/>
  <c r="AQ67" i="5"/>
  <c r="AR67" i="5"/>
  <c r="AQ74" i="5"/>
  <c r="AR74" i="5"/>
  <c r="AQ132" i="5"/>
  <c r="AR132" i="5"/>
  <c r="AF110" i="4"/>
  <c r="AQ455" i="5"/>
  <c r="AR455" i="5"/>
  <c r="AR83" i="5"/>
  <c r="AQ83" i="5"/>
  <c r="AQ316" i="5"/>
  <c r="AR316" i="5"/>
  <c r="AQ490" i="5"/>
  <c r="AR490" i="5"/>
  <c r="AJ98" i="4"/>
  <c r="AK98" i="4"/>
  <c r="AE121" i="4"/>
  <c r="AR421" i="5"/>
  <c r="AQ421" i="5"/>
  <c r="AQ231" i="5"/>
  <c r="AR231" i="5"/>
  <c r="AR317" i="5"/>
  <c r="AQ317" i="5"/>
  <c r="AR319" i="5"/>
  <c r="AQ319" i="5"/>
  <c r="X56" i="4"/>
  <c r="AA56" i="4" s="1"/>
  <c r="AC56" i="4" s="1"/>
  <c r="AD56" i="4" s="1"/>
  <c r="AQ280" i="5"/>
  <c r="AR280" i="5"/>
  <c r="AF104" i="4"/>
  <c r="AQ36" i="5"/>
  <c r="AR36" i="5"/>
  <c r="AR550" i="5"/>
  <c r="AQ550" i="5"/>
  <c r="AQ401" i="5"/>
  <c r="AR401" i="5"/>
  <c r="AR150" i="5"/>
  <c r="AQ150" i="5"/>
  <c r="AQ122" i="5"/>
  <c r="AR122" i="5"/>
  <c r="X31" i="4"/>
  <c r="AA31" i="4" s="1"/>
  <c r="AC31" i="4" s="1"/>
  <c r="AD31" i="4" s="1"/>
  <c r="AF147" i="4"/>
  <c r="AQ339" i="5"/>
  <c r="AR339" i="5"/>
  <c r="AQ254" i="5"/>
  <c r="AR254" i="5"/>
  <c r="AR547" i="5"/>
  <c r="AQ547" i="5"/>
  <c r="AR413" i="5"/>
  <c r="AQ413" i="5"/>
  <c r="AQ511" i="5"/>
  <c r="AR511" i="5"/>
  <c r="AR10" i="5"/>
  <c r="AQ10" i="5"/>
  <c r="AF124" i="4"/>
  <c r="X131" i="4"/>
  <c r="AQ481" i="5"/>
  <c r="AR481" i="5"/>
  <c r="U13" i="5"/>
  <c r="V13" i="5"/>
  <c r="AC13" i="5"/>
  <c r="AR247" i="5"/>
  <c r="AQ247" i="5"/>
  <c r="AR86" i="5"/>
  <c r="AQ86" i="5"/>
  <c r="AR98" i="5"/>
  <c r="AQ98" i="5"/>
  <c r="AQ201" i="5"/>
  <c r="AR201" i="5"/>
  <c r="AE138" i="4"/>
  <c r="AF65" i="4"/>
  <c r="X112" i="4"/>
  <c r="AA112" i="4" s="1"/>
  <c r="AC112" i="4" s="1"/>
  <c r="AD112" i="4" s="1"/>
  <c r="AF99" i="4"/>
  <c r="AE156" i="4"/>
  <c r="H34" i="1"/>
  <c r="B145" i="2"/>
  <c r="H35" i="1" s="1"/>
  <c r="AQ60" i="5"/>
  <c r="AR60" i="5"/>
  <c r="AQ429" i="5"/>
  <c r="AR429" i="5"/>
  <c r="AR377" i="5"/>
  <c r="AQ377" i="5"/>
  <c r="AQ554" i="5"/>
  <c r="AR554" i="5"/>
  <c r="X36" i="4"/>
  <c r="AA36" i="4" s="1"/>
  <c r="AC36" i="4" s="1"/>
  <c r="AD36" i="4" s="1"/>
  <c r="AF119" i="4"/>
  <c r="AQ489" i="5"/>
  <c r="AR489" i="5"/>
  <c r="AQ541" i="5"/>
  <c r="AR541" i="5"/>
  <c r="AR88" i="5"/>
  <c r="AQ88" i="5"/>
  <c r="AQ305" i="5"/>
  <c r="AR305" i="5"/>
  <c r="AF92" i="4"/>
  <c r="AR44" i="5"/>
  <c r="AQ44" i="5"/>
  <c r="AR39" i="5"/>
  <c r="AQ39" i="5"/>
  <c r="AQ73" i="5"/>
  <c r="AR73" i="5"/>
  <c r="AQ374" i="5"/>
  <c r="AR374" i="5"/>
  <c r="AE74" i="4"/>
  <c r="AQ416" i="5"/>
  <c r="AR416" i="5"/>
  <c r="X90" i="4"/>
  <c r="X43" i="4"/>
  <c r="AQ388" i="5"/>
  <c r="AR388" i="5"/>
  <c r="AR185" i="5"/>
  <c r="AQ185" i="5"/>
  <c r="AR49" i="5"/>
  <c r="AQ49" i="5"/>
  <c r="AR71" i="5"/>
  <c r="AQ71" i="5"/>
  <c r="X28" i="4"/>
  <c r="AA28" i="4" s="1"/>
  <c r="AC28" i="4" s="1"/>
  <c r="AD28" i="4" s="1"/>
  <c r="AF51" i="4"/>
  <c r="AE47" i="4" l="1"/>
  <c r="AE459" i="5"/>
  <c r="X9" i="4"/>
  <c r="AJ9" i="4" s="1"/>
  <c r="AD512" i="5"/>
  <c r="X25" i="4"/>
  <c r="AK25" i="4" s="1"/>
  <c r="AE9" i="4"/>
  <c r="AE25" i="4"/>
  <c r="Y7" i="4"/>
  <c r="Z7" i="4" s="1"/>
  <c r="AF7" i="4" s="1"/>
  <c r="AS206" i="5"/>
  <c r="AT206" i="5" s="1"/>
  <c r="Y47" i="4"/>
  <c r="Z47" i="4" s="1"/>
  <c r="Y76" i="4"/>
  <c r="Z76" i="4" s="1"/>
  <c r="AE88" i="4"/>
  <c r="Y35" i="4"/>
  <c r="Z35" i="4" s="1"/>
  <c r="AE76" i="4"/>
  <c r="AE35" i="4"/>
  <c r="X146" i="4"/>
  <c r="AA146" i="4" s="1"/>
  <c r="AC146" i="4" s="1"/>
  <c r="AD146" i="4" s="1"/>
  <c r="X88" i="4"/>
  <c r="AA88" i="4" s="1"/>
  <c r="AC88" i="4" s="1"/>
  <c r="AD88" i="4" s="1"/>
  <c r="AE146" i="4"/>
  <c r="AO102" i="4"/>
  <c r="AG102" i="4"/>
  <c r="AI102" i="4" s="1"/>
  <c r="Y127" i="4"/>
  <c r="Z127" i="4" s="1"/>
  <c r="AE102" i="4"/>
  <c r="AD221" i="5"/>
  <c r="AS264" i="5"/>
  <c r="AU264" i="5" s="1"/>
  <c r="AE221" i="5"/>
  <c r="X102" i="4"/>
  <c r="AJ102" i="4" s="1"/>
  <c r="AS371" i="5"/>
  <c r="AD265" i="5"/>
  <c r="AS525" i="5"/>
  <c r="AS512" i="5"/>
  <c r="AD459" i="5"/>
  <c r="X7" i="4"/>
  <c r="AJ7" i="4" s="1"/>
  <c r="AG18" i="4"/>
  <c r="AO18" i="4"/>
  <c r="AS523" i="5"/>
  <c r="AD80" i="5"/>
  <c r="AD525" i="5"/>
  <c r="AE80" i="5"/>
  <c r="AD105" i="5"/>
  <c r="AE546" i="5"/>
  <c r="AS546" i="5"/>
  <c r="AU546" i="5" s="1"/>
  <c r="AD537" i="5"/>
  <c r="AS379" i="5"/>
  <c r="AS537" i="5"/>
  <c r="AD379" i="5"/>
  <c r="AE117" i="5"/>
  <c r="AE234" i="5"/>
  <c r="AS234" i="5"/>
  <c r="AU234" i="5" s="1"/>
  <c r="AD392" i="5"/>
  <c r="AS446" i="5"/>
  <c r="AT446" i="5" s="1"/>
  <c r="AD26" i="5"/>
  <c r="AD121" i="5"/>
  <c r="AD254" i="5"/>
  <c r="AD160" i="5"/>
  <c r="AE121" i="5"/>
  <c r="AE446" i="5"/>
  <c r="AE392" i="5"/>
  <c r="AE160" i="5"/>
  <c r="AS376" i="5"/>
  <c r="AD429" i="5"/>
  <c r="AE432" i="5"/>
  <c r="AE429" i="5"/>
  <c r="AD432" i="5"/>
  <c r="AE426" i="5"/>
  <c r="AS23" i="5"/>
  <c r="AT23" i="5" s="1"/>
  <c r="AS426" i="5"/>
  <c r="AT426" i="5" s="1"/>
  <c r="Y37" i="4"/>
  <c r="Z37" i="4" s="1"/>
  <c r="AA37" i="4" s="1"/>
  <c r="AC37" i="4" s="1"/>
  <c r="AD37" i="4" s="1"/>
  <c r="AE23" i="5"/>
  <c r="AE534" i="5"/>
  <c r="AS534" i="5"/>
  <c r="AT534" i="5" s="1"/>
  <c r="AS530" i="5"/>
  <c r="AU530" i="5" s="1"/>
  <c r="AE530" i="5"/>
  <c r="X145" i="4"/>
  <c r="AJ145" i="4" s="1"/>
  <c r="AE145" i="4"/>
  <c r="AE376" i="5"/>
  <c r="AS105" i="5"/>
  <c r="AU105" i="5" s="1"/>
  <c r="AD264" i="5"/>
  <c r="AD508" i="5"/>
  <c r="AD417" i="5"/>
  <c r="AD422" i="5"/>
  <c r="AS483" i="5"/>
  <c r="AU483" i="5" s="1"/>
  <c r="AS508" i="5"/>
  <c r="AU508" i="5" s="1"/>
  <c r="AE289" i="5"/>
  <c r="AD232" i="5"/>
  <c r="AE483" i="5"/>
  <c r="AE279" i="5"/>
  <c r="AE254" i="5"/>
  <c r="AE232" i="5"/>
  <c r="AD500" i="5"/>
  <c r="AD279" i="5"/>
  <c r="X66" i="4"/>
  <c r="AJ66" i="4" s="1"/>
  <c r="AE422" i="5"/>
  <c r="AS532" i="5"/>
  <c r="AT532" i="5" s="1"/>
  <c r="AS200" i="5"/>
  <c r="AT200" i="5" s="1"/>
  <c r="AE500" i="5"/>
  <c r="AS26" i="5"/>
  <c r="AT26" i="5" s="1"/>
  <c r="AE532" i="5"/>
  <c r="AD479" i="5"/>
  <c r="AS289" i="5"/>
  <c r="AT289" i="5" s="1"/>
  <c r="AE14" i="4"/>
  <c r="AS469" i="5"/>
  <c r="AU469" i="5" s="1"/>
  <c r="AD469" i="5"/>
  <c r="AE417" i="5"/>
  <c r="AS243" i="5"/>
  <c r="AU243" i="5" s="1"/>
  <c r="AS345" i="5"/>
  <c r="AT345" i="5" s="1"/>
  <c r="AD117" i="5"/>
  <c r="AS97" i="5"/>
  <c r="AT97" i="5" s="1"/>
  <c r="AS463" i="5"/>
  <c r="AU463" i="5" s="1"/>
  <c r="AE97" i="5"/>
  <c r="K36" i="2"/>
  <c r="L36" i="2"/>
  <c r="X46" i="4"/>
  <c r="AK46" i="4" s="1"/>
  <c r="AE15" i="4"/>
  <c r="AO46" i="4"/>
  <c r="AE37" i="4"/>
  <c r="AS265" i="5"/>
  <c r="AT265" i="5" s="1"/>
  <c r="AE520" i="5"/>
  <c r="AD520" i="5"/>
  <c r="AS184" i="5"/>
  <c r="AT184" i="5" s="1"/>
  <c r="AE184" i="5"/>
  <c r="AD463" i="5"/>
  <c r="AE205" i="5"/>
  <c r="AD470" i="5"/>
  <c r="AS470" i="5"/>
  <c r="AU470" i="5" s="1"/>
  <c r="AD556" i="5"/>
  <c r="AS327" i="5"/>
  <c r="AT327" i="5" s="1"/>
  <c r="AS509" i="5"/>
  <c r="AT509" i="5" s="1"/>
  <c r="AD511" i="5"/>
  <c r="AE140" i="5"/>
  <c r="AD452" i="5"/>
  <c r="AS226" i="5"/>
  <c r="AT226" i="5" s="1"/>
  <c r="AE354" i="5"/>
  <c r="AS22" i="5"/>
  <c r="AT22" i="5" s="1"/>
  <c r="AE213" i="5"/>
  <c r="AS511" i="5"/>
  <c r="AT511" i="5" s="1"/>
  <c r="AS297" i="5"/>
  <c r="AT297" i="5" s="1"/>
  <c r="AS466" i="5"/>
  <c r="AU466" i="5" s="1"/>
  <c r="AE297" i="5"/>
  <c r="AS213" i="5"/>
  <c r="AU213" i="5" s="1"/>
  <c r="AS540" i="5"/>
  <c r="AU540" i="5" s="1"/>
  <c r="AE359" i="5"/>
  <c r="Y20" i="4"/>
  <c r="Z20" i="4" s="1"/>
  <c r="AF20" i="4" s="1"/>
  <c r="AE20" i="4"/>
  <c r="AD444" i="5"/>
  <c r="AD183" i="5"/>
  <c r="AS49" i="5"/>
  <c r="AT49" i="5" s="1"/>
  <c r="AE46" i="4"/>
  <c r="AA43" i="4"/>
  <c r="AC43" i="4" s="1"/>
  <c r="AD43" i="4" s="1"/>
  <c r="AD540" i="5"/>
  <c r="AS359" i="5"/>
  <c r="AT359" i="5" s="1"/>
  <c r="AE365" i="5"/>
  <c r="AS514" i="5"/>
  <c r="AT514" i="5" s="1"/>
  <c r="AE479" i="5"/>
  <c r="X14" i="4"/>
  <c r="AJ14" i="4" s="1"/>
  <c r="AE24" i="5"/>
  <c r="AS166" i="5"/>
  <c r="AT166" i="5" s="1"/>
  <c r="AD136" i="5"/>
  <c r="X61" i="4"/>
  <c r="AJ61" i="4" s="1"/>
  <c r="AE66" i="4"/>
  <c r="AF66" i="4"/>
  <c r="AO66" i="4" s="1"/>
  <c r="AD302" i="5"/>
  <c r="AA149" i="4"/>
  <c r="AC149" i="4" s="1"/>
  <c r="AD149" i="4" s="1"/>
  <c r="AO61" i="4"/>
  <c r="AK18" i="4"/>
  <c r="AA115" i="4"/>
  <c r="AC115" i="4" s="1"/>
  <c r="AD115" i="4" s="1"/>
  <c r="AE61" i="4"/>
  <c r="AE40" i="5"/>
  <c r="AE237" i="5"/>
  <c r="AE42" i="5"/>
  <c r="AD386" i="5"/>
  <c r="AE261" i="5"/>
  <c r="AS188" i="5"/>
  <c r="AT188" i="5" s="1"/>
  <c r="AA18" i="4"/>
  <c r="AC18" i="4" s="1"/>
  <c r="AD18" i="4" s="1"/>
  <c r="AE386" i="5"/>
  <c r="AS42" i="5"/>
  <c r="AU42" i="5" s="1"/>
  <c r="AF142" i="4"/>
  <c r="AG142" i="4" s="1"/>
  <c r="AI142" i="4" s="1"/>
  <c r="AS248" i="5"/>
  <c r="AU248" i="5" s="1"/>
  <c r="AD261" i="5"/>
  <c r="AE142" i="4"/>
  <c r="AS361" i="5"/>
  <c r="AU361" i="5" s="1"/>
  <c r="AD361" i="5"/>
  <c r="AD543" i="5"/>
  <c r="AD280" i="5"/>
  <c r="AS313" i="5"/>
  <c r="AU313" i="5" s="1"/>
  <c r="X142" i="4"/>
  <c r="AJ142" i="4" s="1"/>
  <c r="AE280" i="5"/>
  <c r="AD301" i="5"/>
  <c r="AE303" i="5"/>
  <c r="AE482" i="5"/>
  <c r="AE382" i="5"/>
  <c r="AS351" i="5"/>
  <c r="AT351" i="5" s="1"/>
  <c r="AS518" i="5"/>
  <c r="AU518" i="5" s="1"/>
  <c r="AS31" i="5"/>
  <c r="AT31" i="5" s="1"/>
  <c r="AE491" i="5"/>
  <c r="AT278" i="5"/>
  <c r="AD365" i="5"/>
  <c r="AE501" i="5"/>
  <c r="AS353" i="5"/>
  <c r="AT353" i="5" s="1"/>
  <c r="AS421" i="5"/>
  <c r="AT421" i="5" s="1"/>
  <c r="AD332" i="5"/>
  <c r="AE332" i="5"/>
  <c r="AD518" i="5"/>
  <c r="AD203" i="5"/>
  <c r="AE166" i="5"/>
  <c r="AS302" i="5"/>
  <c r="AU302" i="5" s="1"/>
  <c r="AE70" i="5"/>
  <c r="AS145" i="5"/>
  <c r="AU145" i="5" s="1"/>
  <c r="AD514" i="5"/>
  <c r="AS300" i="5"/>
  <c r="AT300" i="5" s="1"/>
  <c r="AS444" i="5"/>
  <c r="AU444" i="5" s="1"/>
  <c r="AD345" i="5"/>
  <c r="AE136" i="5"/>
  <c r="AE243" i="5"/>
  <c r="AS113" i="5"/>
  <c r="AU113" i="5" s="1"/>
  <c r="AE300" i="5"/>
  <c r="AS382" i="5"/>
  <c r="AT382" i="5" s="1"/>
  <c r="AD482" i="5"/>
  <c r="AS58" i="5"/>
  <c r="AU58" i="5" s="1"/>
  <c r="AE58" i="5"/>
  <c r="AD48" i="5"/>
  <c r="AD363" i="5"/>
  <c r="AS201" i="5"/>
  <c r="AU201" i="5" s="1"/>
  <c r="AS349" i="5"/>
  <c r="AT349" i="5" s="1"/>
  <c r="AE336" i="5"/>
  <c r="AS137" i="5"/>
  <c r="AT137" i="5" s="1"/>
  <c r="AE59" i="5"/>
  <c r="AE349" i="5"/>
  <c r="AE378" i="5"/>
  <c r="AS222" i="5"/>
  <c r="AU222" i="5" s="1"/>
  <c r="AS336" i="5"/>
  <c r="AT336" i="5" s="1"/>
  <c r="AS21" i="5"/>
  <c r="AT21" i="5" s="1"/>
  <c r="AD21" i="5"/>
  <c r="AS148" i="5"/>
  <c r="AT148" i="5" s="1"/>
  <c r="AE248" i="5"/>
  <c r="AE188" i="5"/>
  <c r="AE137" i="5"/>
  <c r="AD59" i="5"/>
  <c r="AD374" i="5"/>
  <c r="AD32" i="5"/>
  <c r="AS478" i="5"/>
  <c r="AU478" i="5" s="1"/>
  <c r="AE223" i="5"/>
  <c r="AS374" i="5"/>
  <c r="AU374" i="5" s="1"/>
  <c r="AE455" i="5"/>
  <c r="AS32" i="5"/>
  <c r="AT32" i="5" s="1"/>
  <c r="AD478" i="5"/>
  <c r="AD223" i="5"/>
  <c r="AE199" i="5"/>
  <c r="AD303" i="5"/>
  <c r="AE313" i="5"/>
  <c r="AD481" i="5"/>
  <c r="AD237" i="5"/>
  <c r="AS363" i="5"/>
  <c r="AT363" i="5" s="1"/>
  <c r="AS378" i="5"/>
  <c r="AU378" i="5" s="1"/>
  <c r="AE222" i="5"/>
  <c r="AE69" i="5"/>
  <c r="AE543" i="5"/>
  <c r="AS301" i="5"/>
  <c r="AU301" i="5" s="1"/>
  <c r="AS455" i="5"/>
  <c r="AU455" i="5" s="1"/>
  <c r="AD453" i="5"/>
  <c r="AS48" i="5"/>
  <c r="AU48" i="5" s="1"/>
  <c r="AD138" i="5"/>
  <c r="AS138" i="5"/>
  <c r="AT138" i="5" s="1"/>
  <c r="AD360" i="5"/>
  <c r="AS477" i="5"/>
  <c r="AT477" i="5" s="1"/>
  <c r="AE333" i="5"/>
  <c r="AE477" i="5"/>
  <c r="AS94" i="5"/>
  <c r="AU94" i="5" s="1"/>
  <c r="AD194" i="5"/>
  <c r="AS306" i="5"/>
  <c r="AU306" i="5" s="1"/>
  <c r="AS494" i="5"/>
  <c r="AU494" i="5" s="1"/>
  <c r="AA96" i="4"/>
  <c r="AC96" i="4" s="1"/>
  <c r="AD96" i="4" s="1"/>
  <c r="AD94" i="5"/>
  <c r="AD333" i="5"/>
  <c r="AS360" i="5"/>
  <c r="AU360" i="5" s="1"/>
  <c r="AS259" i="5"/>
  <c r="AU259" i="5" s="1"/>
  <c r="AD460" i="5"/>
  <c r="AT147" i="5"/>
  <c r="AS194" i="5"/>
  <c r="AU194" i="5" s="1"/>
  <c r="AD306" i="5"/>
  <c r="AE494" i="5"/>
  <c r="AT54" i="5"/>
  <c r="AS158" i="5"/>
  <c r="AU158" i="5" s="1"/>
  <c r="AD54" i="5"/>
  <c r="AE173" i="5"/>
  <c r="AD269" i="5"/>
  <c r="AS119" i="5"/>
  <c r="AU119" i="5" s="1"/>
  <c r="AE186" i="5"/>
  <c r="AE460" i="5"/>
  <c r="AD475" i="5"/>
  <c r="AE399" i="5"/>
  <c r="AD398" i="5"/>
  <c r="AS475" i="5"/>
  <c r="AU475" i="5" s="1"/>
  <c r="AD536" i="5"/>
  <c r="AE165" i="5"/>
  <c r="AE125" i="5"/>
  <c r="AS186" i="5"/>
  <c r="AU186" i="5" s="1"/>
  <c r="AD399" i="5"/>
  <c r="AD456" i="5"/>
  <c r="AE54" i="5"/>
  <c r="AS425" i="5"/>
  <c r="AT425" i="5" s="1"/>
  <c r="AS55" i="5"/>
  <c r="AT55" i="5" s="1"/>
  <c r="AE135" i="4"/>
  <c r="AE533" i="5"/>
  <c r="AD31" i="5"/>
  <c r="AS440" i="5"/>
  <c r="AT440" i="5" s="1"/>
  <c r="AD366" i="5"/>
  <c r="AS462" i="5"/>
  <c r="AU462" i="5" s="1"/>
  <c r="AE65" i="5"/>
  <c r="AD436" i="5"/>
  <c r="AD400" i="5"/>
  <c r="AD296" i="5"/>
  <c r="AS283" i="5"/>
  <c r="AT283" i="5" s="1"/>
  <c r="AE269" i="5"/>
  <c r="AE241" i="5"/>
  <c r="AS517" i="5"/>
  <c r="AT517" i="5" s="1"/>
  <c r="AE208" i="5"/>
  <c r="AS140" i="5"/>
  <c r="AU140" i="5" s="1"/>
  <c r="AS556" i="5"/>
  <c r="AU556" i="5" s="1"/>
  <c r="AE22" i="5"/>
  <c r="AD151" i="5"/>
  <c r="AD226" i="5"/>
  <c r="AD466" i="5"/>
  <c r="AS62" i="5"/>
  <c r="AT62" i="5" s="1"/>
  <c r="AS354" i="5"/>
  <c r="AU354" i="5" s="1"/>
  <c r="AS309" i="5"/>
  <c r="AT309" i="5" s="1"/>
  <c r="AD401" i="5"/>
  <c r="AS325" i="5"/>
  <c r="AU325" i="5" s="1"/>
  <c r="X15" i="4"/>
  <c r="AJ15" i="4" s="1"/>
  <c r="AE210" i="5"/>
  <c r="AE151" i="5"/>
  <c r="AD472" i="5"/>
  <c r="AD112" i="5"/>
  <c r="AE551" i="5"/>
  <c r="AE309" i="5"/>
  <c r="AD486" i="5"/>
  <c r="AE112" i="5"/>
  <c r="AS551" i="5"/>
  <c r="AU551" i="5" s="1"/>
  <c r="AD245" i="5"/>
  <c r="AD277" i="5"/>
  <c r="AS116" i="5"/>
  <c r="AT116" i="5" s="1"/>
  <c r="AD325" i="5"/>
  <c r="AS504" i="5"/>
  <c r="AT504" i="5" s="1"/>
  <c r="AS210" i="5"/>
  <c r="AU210" i="5" s="1"/>
  <c r="AE304" i="5"/>
  <c r="AD327" i="5"/>
  <c r="AS452" i="5"/>
  <c r="AU452" i="5" s="1"/>
  <c r="AD504" i="5"/>
  <c r="AD304" i="5"/>
  <c r="AS245" i="5"/>
  <c r="AT245" i="5" s="1"/>
  <c r="AS46" i="5"/>
  <c r="AT46" i="5" s="1"/>
  <c r="AS277" i="5"/>
  <c r="AU277" i="5" s="1"/>
  <c r="AD158" i="5"/>
  <c r="AD46" i="5"/>
  <c r="AD116" i="5"/>
  <c r="AS438" i="5"/>
  <c r="AT438" i="5" s="1"/>
  <c r="AS244" i="5"/>
  <c r="AU244" i="5" s="1"/>
  <c r="AD189" i="5"/>
  <c r="AD40" i="5"/>
  <c r="AE502" i="5"/>
  <c r="AD38" i="5"/>
  <c r="AD180" i="5"/>
  <c r="AE101" i="5"/>
  <c r="AE480" i="5"/>
  <c r="AS548" i="5"/>
  <c r="AT548" i="5" s="1"/>
  <c r="AS36" i="5"/>
  <c r="AU36" i="5" s="1"/>
  <c r="AS502" i="5"/>
  <c r="AT502" i="5" s="1"/>
  <c r="AS310" i="5"/>
  <c r="AU310" i="5" s="1"/>
  <c r="AD142" i="5"/>
  <c r="AE76" i="5"/>
  <c r="AS308" i="5"/>
  <c r="AU308" i="5" s="1"/>
  <c r="AD338" i="5"/>
  <c r="AE142" i="5"/>
  <c r="AD274" i="5"/>
  <c r="AD238" i="5"/>
  <c r="AE19" i="5"/>
  <c r="AD150" i="5"/>
  <c r="AI18" i="4"/>
  <c r="AE544" i="5"/>
  <c r="AD450" i="5"/>
  <c r="AS115" i="5"/>
  <c r="AT115" i="5" s="1"/>
  <c r="AX115" i="5" s="1"/>
  <c r="AY115" i="5" s="1"/>
  <c r="AD295" i="5"/>
  <c r="AE115" i="5"/>
  <c r="AD491" i="5"/>
  <c r="AS150" i="5"/>
  <c r="AU150" i="5" s="1"/>
  <c r="AE552" i="5"/>
  <c r="AE517" i="5"/>
  <c r="AE341" i="5"/>
  <c r="AE25" i="5"/>
  <c r="AS552" i="5"/>
  <c r="AT552" i="5" s="1"/>
  <c r="AD241" i="5"/>
  <c r="AD298" i="5"/>
  <c r="AS25" i="5"/>
  <c r="AT25" i="5" s="1"/>
  <c r="AE298" i="5"/>
  <c r="AD451" i="5"/>
  <c r="AT202" i="5"/>
  <c r="AE202" i="5"/>
  <c r="AD202" i="5"/>
  <c r="AD208" i="5"/>
  <c r="AS451" i="5"/>
  <c r="AU451" i="5" s="1"/>
  <c r="AS267" i="5"/>
  <c r="AU267" i="5" s="1"/>
  <c r="AS174" i="5"/>
  <c r="AU174" i="5" s="1"/>
  <c r="AS104" i="5"/>
  <c r="AU104" i="5" s="1"/>
  <c r="AE145" i="5"/>
  <c r="AD104" i="5"/>
  <c r="AS178" i="5"/>
  <c r="AU178" i="5" s="1"/>
  <c r="AE113" i="5"/>
  <c r="AE200" i="5"/>
  <c r="AS533" i="5"/>
  <c r="AT533" i="5" s="1"/>
  <c r="AE216" i="5"/>
  <c r="AS120" i="5"/>
  <c r="AU120" i="5" s="1"/>
  <c r="AS501" i="5"/>
  <c r="AU501" i="5" s="1"/>
  <c r="AE456" i="5"/>
  <c r="AD421" i="5"/>
  <c r="AE120" i="5"/>
  <c r="AU78" i="5"/>
  <c r="AE351" i="5"/>
  <c r="AD275" i="5"/>
  <c r="AD440" i="5"/>
  <c r="AS400" i="5"/>
  <c r="AT400" i="5" s="1"/>
  <c r="AE203" i="5"/>
  <c r="AS366" i="5"/>
  <c r="AU366" i="5" s="1"/>
  <c r="AD216" i="5"/>
  <c r="AE434" i="5"/>
  <c r="AS390" i="5"/>
  <c r="AU390" i="5" s="1"/>
  <c r="AD383" i="5"/>
  <c r="AE275" i="5"/>
  <c r="AE181" i="5"/>
  <c r="AD260" i="5"/>
  <c r="AD434" i="5"/>
  <c r="AE384" i="5"/>
  <c r="AE425" i="5"/>
  <c r="AE390" i="5"/>
  <c r="AD165" i="5"/>
  <c r="AD335" i="5"/>
  <c r="AD506" i="5"/>
  <c r="AD181" i="5"/>
  <c r="AE260" i="5"/>
  <c r="AS383" i="5"/>
  <c r="AU383" i="5" s="1"/>
  <c r="AS492" i="5"/>
  <c r="AU492" i="5" s="1"/>
  <c r="AS384" i="5"/>
  <c r="AT384" i="5" s="1"/>
  <c r="AS335" i="5"/>
  <c r="AU335" i="5" s="1"/>
  <c r="AE506" i="5"/>
  <c r="AD492" i="5"/>
  <c r="AD353" i="5"/>
  <c r="AE495" i="5"/>
  <c r="AS193" i="5"/>
  <c r="AT193" i="5" s="1"/>
  <c r="AD114" i="5"/>
  <c r="AD495" i="5"/>
  <c r="AT81" i="5"/>
  <c r="AD283" i="5"/>
  <c r="AS114" i="5"/>
  <c r="AT114" i="5" s="1"/>
  <c r="AS420" i="5"/>
  <c r="AT420" i="5" s="1"/>
  <c r="AD441" i="5"/>
  <c r="AE462" i="5"/>
  <c r="AS441" i="5"/>
  <c r="AU441" i="5" s="1"/>
  <c r="AE420" i="5"/>
  <c r="AE278" i="5"/>
  <c r="AS60" i="5"/>
  <c r="AU60" i="5" s="1"/>
  <c r="X135" i="4"/>
  <c r="AJ135" i="4" s="1"/>
  <c r="AD278" i="5"/>
  <c r="AD81" i="5"/>
  <c r="AE122" i="5"/>
  <c r="AE49" i="5"/>
  <c r="AD70" i="5"/>
  <c r="AS122" i="5"/>
  <c r="AT122" i="5" s="1"/>
  <c r="AE81" i="5"/>
  <c r="AE78" i="5"/>
  <c r="AE60" i="5"/>
  <c r="AE36" i="5"/>
  <c r="AD356" i="5"/>
  <c r="AD310" i="5"/>
  <c r="AF125" i="4"/>
  <c r="AG125" i="4" s="1"/>
  <c r="AI125" i="4" s="1"/>
  <c r="AD127" i="5"/>
  <c r="AE356" i="5"/>
  <c r="AE125" i="4"/>
  <c r="AE127" i="5"/>
  <c r="AE143" i="5"/>
  <c r="AD343" i="5"/>
  <c r="AS314" i="5"/>
  <c r="AT314" i="5" s="1"/>
  <c r="AE343" i="5"/>
  <c r="AS50" i="5"/>
  <c r="AT50" i="5" s="1"/>
  <c r="AE342" i="5"/>
  <c r="X125" i="4"/>
  <c r="AJ125" i="4" s="1"/>
  <c r="AS143" i="5"/>
  <c r="AT143" i="5" s="1"/>
  <c r="AE12" i="5"/>
  <c r="AS541" i="5"/>
  <c r="AT541" i="5" s="1"/>
  <c r="AD50" i="5"/>
  <c r="AD428" i="5"/>
  <c r="AS12" i="5"/>
  <c r="AU12" i="5" s="1"/>
  <c r="AS496" i="5"/>
  <c r="AU496" i="5" s="1"/>
  <c r="AE496" i="5"/>
  <c r="AE314" i="5"/>
  <c r="AE38" i="5"/>
  <c r="AD342" i="5"/>
  <c r="AE308" i="5"/>
  <c r="AS77" i="5"/>
  <c r="AT77" i="5" s="1"/>
  <c r="AX77" i="5" s="1"/>
  <c r="AY77" i="5" s="1"/>
  <c r="AS476" i="5"/>
  <c r="AT476" i="5" s="1"/>
  <c r="AS405" i="5"/>
  <c r="AU405" i="5" s="1"/>
  <c r="AE106" i="5"/>
  <c r="AD244" i="5"/>
  <c r="AS295" i="5"/>
  <c r="AU295" i="5" s="1"/>
  <c r="AS76" i="5"/>
  <c r="AU76" i="5" s="1"/>
  <c r="AD438" i="5"/>
  <c r="AE405" i="5"/>
  <c r="AS106" i="5"/>
  <c r="AT106" i="5" s="1"/>
  <c r="AS134" i="5"/>
  <c r="AU134" i="5" s="1"/>
  <c r="AE180" i="5"/>
  <c r="AE476" i="5"/>
  <c r="AS90" i="5"/>
  <c r="AU90" i="5" s="1"/>
  <c r="AD282" i="5"/>
  <c r="AD528" i="5"/>
  <c r="X57" i="4"/>
  <c r="AJ57" i="4" s="1"/>
  <c r="AD77" i="5"/>
  <c r="AE57" i="4"/>
  <c r="AD239" i="5"/>
  <c r="AS24" i="5"/>
  <c r="AT24" i="5" s="1"/>
  <c r="AE338" i="5"/>
  <c r="AE274" i="5"/>
  <c r="AD294" i="5"/>
  <c r="AS239" i="5"/>
  <c r="AU239" i="5" s="1"/>
  <c r="AS293" i="5"/>
  <c r="AT293" i="5" s="1"/>
  <c r="AD262" i="5"/>
  <c r="AS44" i="5"/>
  <c r="AT44" i="5" s="1"/>
  <c r="AE294" i="5"/>
  <c r="AD217" i="5"/>
  <c r="AE247" i="5"/>
  <c r="AS238" i="5"/>
  <c r="AU238" i="5" s="1"/>
  <c r="AD293" i="5"/>
  <c r="AE189" i="5"/>
  <c r="AE262" i="5"/>
  <c r="AS344" i="5"/>
  <c r="AU344" i="5" s="1"/>
  <c r="AD101" i="5"/>
  <c r="AE44" i="5"/>
  <c r="AS394" i="5"/>
  <c r="AT394" i="5" s="1"/>
  <c r="AS19" i="5"/>
  <c r="AT19" i="5" s="1"/>
  <c r="AS453" i="5"/>
  <c r="AT453" i="5" s="1"/>
  <c r="AD548" i="5"/>
  <c r="AE148" i="5"/>
  <c r="AD197" i="5"/>
  <c r="AS220" i="5"/>
  <c r="AU220" i="5" s="1"/>
  <c r="AD544" i="5"/>
  <c r="AE450" i="5"/>
  <c r="AK96" i="4"/>
  <c r="AS217" i="5"/>
  <c r="AU217" i="5" s="1"/>
  <c r="AS197" i="5"/>
  <c r="AU197" i="5" s="1"/>
  <c r="AE220" i="5"/>
  <c r="AE266" i="5"/>
  <c r="AD257" i="5"/>
  <c r="AE436" i="5"/>
  <c r="AD174" i="5"/>
  <c r="AS410" i="5"/>
  <c r="AU410" i="5" s="1"/>
  <c r="AE34" i="5"/>
  <c r="AS132" i="5"/>
  <c r="AU132" i="5" s="1"/>
  <c r="AS27" i="5"/>
  <c r="AU27" i="5" s="1"/>
  <c r="AE133" i="5"/>
  <c r="AS126" i="5"/>
  <c r="AT126" i="5" s="1"/>
  <c r="AS416" i="5"/>
  <c r="AT416" i="5" s="1"/>
  <c r="AS385" i="5"/>
  <c r="AT385" i="5" s="1"/>
  <c r="AS111" i="5"/>
  <c r="AU111" i="5" s="1"/>
  <c r="AD133" i="5"/>
  <c r="AD267" i="5"/>
  <c r="AS68" i="5"/>
  <c r="AT68" i="5" s="1"/>
  <c r="AE416" i="5"/>
  <c r="AD27" i="5"/>
  <c r="AS447" i="5"/>
  <c r="AT447" i="5" s="1"/>
  <c r="AD385" i="5"/>
  <c r="AD350" i="5"/>
  <c r="AS350" i="5"/>
  <c r="AT350" i="5" s="1"/>
  <c r="AE375" i="5"/>
  <c r="AS179" i="5"/>
  <c r="AU179" i="5" s="1"/>
  <c r="AE35" i="5"/>
  <c r="AD73" i="5"/>
  <c r="AD29" i="5"/>
  <c r="AS155" i="5"/>
  <c r="AU155" i="5" s="1"/>
  <c r="AE505" i="5"/>
  <c r="AS369" i="5"/>
  <c r="AT369" i="5" s="1"/>
  <c r="AE43" i="5"/>
  <c r="AD155" i="5"/>
  <c r="AE68" i="5"/>
  <c r="AS73" i="5"/>
  <c r="AT73" i="5" s="1"/>
  <c r="AE111" i="5"/>
  <c r="AD369" i="5"/>
  <c r="AD341" i="5"/>
  <c r="AS505" i="5"/>
  <c r="AT505" i="5" s="1"/>
  <c r="AD126" i="5"/>
  <c r="AS388" i="5"/>
  <c r="AU388" i="5" s="1"/>
  <c r="AD465" i="5"/>
  <c r="AD132" i="5"/>
  <c r="AU257" i="5"/>
  <c r="AD125" i="5"/>
  <c r="AD529" i="5"/>
  <c r="AE296" i="5"/>
  <c r="AD253" i="5"/>
  <c r="AD228" i="5"/>
  <c r="AD55" i="5"/>
  <c r="AS529" i="5"/>
  <c r="AU529" i="5" s="1"/>
  <c r="AD499" i="5"/>
  <c r="AD168" i="5"/>
  <c r="AS228" i="5"/>
  <c r="AU228" i="5" s="1"/>
  <c r="AD236" i="5"/>
  <c r="AE499" i="5"/>
  <c r="AE403" i="5"/>
  <c r="AD33" i="5"/>
  <c r="AE147" i="5"/>
  <c r="AE157" i="5"/>
  <c r="AS168" i="5"/>
  <c r="AU168" i="5" s="1"/>
  <c r="AS99" i="5"/>
  <c r="AU99" i="5" s="1"/>
  <c r="AE253" i="5"/>
  <c r="AD66" i="5"/>
  <c r="AS473" i="5"/>
  <c r="AU473" i="5" s="1"/>
  <c r="AS236" i="5"/>
  <c r="AU236" i="5" s="1"/>
  <c r="AE214" i="5"/>
  <c r="AS141" i="5"/>
  <c r="AU141" i="5" s="1"/>
  <c r="AS404" i="5"/>
  <c r="AU404" i="5" s="1"/>
  <c r="AD268" i="5"/>
  <c r="AS403" i="5"/>
  <c r="AU403" i="5" s="1"/>
  <c r="AE33" i="5"/>
  <c r="AS218" i="5"/>
  <c r="AT218" i="5" s="1"/>
  <c r="AS398" i="5"/>
  <c r="AT398" i="5" s="1"/>
  <c r="AD173" i="5"/>
  <c r="AS66" i="5"/>
  <c r="AU66" i="5" s="1"/>
  <c r="AE473" i="5"/>
  <c r="AD119" i="5"/>
  <c r="AS214" i="5"/>
  <c r="AU214" i="5" s="1"/>
  <c r="AE141" i="5"/>
  <c r="AE404" i="5"/>
  <c r="AE268" i="5"/>
  <c r="AD259" i="5"/>
  <c r="AD266" i="5"/>
  <c r="AE257" i="5"/>
  <c r="AS229" i="5"/>
  <c r="AU229" i="5" s="1"/>
  <c r="AE229" i="5"/>
  <c r="AE536" i="5"/>
  <c r="AS108" i="5"/>
  <c r="AT108" i="5" s="1"/>
  <c r="AD218" i="5"/>
  <c r="AS65" i="5"/>
  <c r="AU65" i="5" s="1"/>
  <c r="AD147" i="5"/>
  <c r="AE99" i="5"/>
  <c r="AS157" i="5"/>
  <c r="AU157" i="5" s="1"/>
  <c r="AE541" i="5"/>
  <c r="AD90" i="5"/>
  <c r="AE282" i="5"/>
  <c r="AS468" i="5"/>
  <c r="AT468" i="5" s="1"/>
  <c r="AS528" i="5"/>
  <c r="AU528" i="5" s="1"/>
  <c r="AD134" i="5"/>
  <c r="AS428" i="5"/>
  <c r="AU428" i="5" s="1"/>
  <c r="AE468" i="5"/>
  <c r="AS198" i="5"/>
  <c r="AT198" i="5" s="1"/>
  <c r="AD513" i="5"/>
  <c r="AE329" i="5"/>
  <c r="AS285" i="5"/>
  <c r="AT285" i="5" s="1"/>
  <c r="AE521" i="5"/>
  <c r="AE380" i="5"/>
  <c r="AS513" i="5"/>
  <c r="AU513" i="5" s="1"/>
  <c r="AE331" i="5"/>
  <c r="AD395" i="5"/>
  <c r="AS318" i="5"/>
  <c r="AU318" i="5" s="1"/>
  <c r="AD329" i="5"/>
  <c r="AD83" i="5"/>
  <c r="AE285" i="5"/>
  <c r="AD521" i="5"/>
  <c r="AE198" i="5"/>
  <c r="AD255" i="5"/>
  <c r="AE471" i="5"/>
  <c r="AD471" i="5"/>
  <c r="AD380" i="5"/>
  <c r="AD331" i="5"/>
  <c r="AE395" i="5"/>
  <c r="AE318" i="5"/>
  <c r="AS270" i="5"/>
  <c r="AT270" i="5" s="1"/>
  <c r="AD427" i="5"/>
  <c r="AE83" i="5"/>
  <c r="AS402" i="5"/>
  <c r="AU402" i="5" s="1"/>
  <c r="AD270" i="5"/>
  <c r="AE427" i="5"/>
  <c r="AE402" i="5"/>
  <c r="AS255" i="5"/>
  <c r="AT255" i="5" s="1"/>
  <c r="Y39" i="4"/>
  <c r="Z39" i="4" s="1"/>
  <c r="AF39" i="4" s="1"/>
  <c r="AE62" i="5"/>
  <c r="AS205" i="5"/>
  <c r="AT205" i="5" s="1"/>
  <c r="AD251" i="5"/>
  <c r="AU175" i="5"/>
  <c r="AS82" i="5"/>
  <c r="AU82" i="5" s="1"/>
  <c r="AE39" i="4"/>
  <c r="AS401" i="5"/>
  <c r="AU401" i="5" s="1"/>
  <c r="AS437" i="5"/>
  <c r="AT437" i="5" s="1"/>
  <c r="AD82" i="5"/>
  <c r="AE437" i="5"/>
  <c r="AE251" i="5"/>
  <c r="AD424" i="5"/>
  <c r="AS387" i="5"/>
  <c r="AT387" i="5" s="1"/>
  <c r="AS103" i="5"/>
  <c r="AT103" i="5" s="1"/>
  <c r="AE175" i="5"/>
  <c r="AD381" i="5"/>
  <c r="AE424" i="5"/>
  <c r="AS316" i="5"/>
  <c r="AU316" i="5" s="1"/>
  <c r="AD7" i="5"/>
  <c r="B215" i="2" s="1"/>
  <c r="B216" i="2" s="1"/>
  <c r="B217" i="2" s="1"/>
  <c r="B227" i="2" s="1"/>
  <c r="B229" i="2" s="1"/>
  <c r="AE381" i="5"/>
  <c r="AD67" i="5"/>
  <c r="AO118" i="4"/>
  <c r="AR118" i="4" s="1"/>
  <c r="AT118" i="4" s="1"/>
  <c r="AE509" i="5"/>
  <c r="AD316" i="5"/>
  <c r="AS67" i="5"/>
  <c r="AU67" i="5" s="1"/>
  <c r="AS486" i="5"/>
  <c r="AU486" i="5" s="1"/>
  <c r="AE7" i="5"/>
  <c r="AS472" i="5"/>
  <c r="AT472" i="5" s="1"/>
  <c r="AE103" i="5"/>
  <c r="AD175" i="5"/>
  <c r="AD410" i="5"/>
  <c r="AE339" i="5"/>
  <c r="AS558" i="5"/>
  <c r="AU558" i="5" s="1"/>
  <c r="AE555" i="5"/>
  <c r="AE515" i="5"/>
  <c r="AD553" i="5"/>
  <c r="AD339" i="5"/>
  <c r="AE178" i="5"/>
  <c r="AE72" i="5"/>
  <c r="X12" i="4"/>
  <c r="AJ12" i="4" s="1"/>
  <c r="AD34" i="5"/>
  <c r="AE558" i="5"/>
  <c r="AS555" i="5"/>
  <c r="AU555" i="5" s="1"/>
  <c r="AE553" i="5"/>
  <c r="AS128" i="5"/>
  <c r="AT128" i="5" s="1"/>
  <c r="AE209" i="5"/>
  <c r="AD388" i="5"/>
  <c r="AE406" i="5"/>
  <c r="AD498" i="5"/>
  <c r="AD515" i="5"/>
  <c r="AD433" i="5"/>
  <c r="AE498" i="5"/>
  <c r="AS411" i="5"/>
  <c r="AU411" i="5" s="1"/>
  <c r="AS321" i="5"/>
  <c r="AU321" i="5" s="1"/>
  <c r="AE377" i="5"/>
  <c r="AE153" i="5"/>
  <c r="AE263" i="5"/>
  <c r="AE75" i="5"/>
  <c r="AE102" i="5"/>
  <c r="AD193" i="5"/>
  <c r="AE128" i="5"/>
  <c r="AS102" i="5"/>
  <c r="AT102" i="5" s="1"/>
  <c r="AD110" i="5"/>
  <c r="Y12" i="4"/>
  <c r="Z12" i="4" s="1"/>
  <c r="AK12" i="4" s="1"/>
  <c r="AD411" i="5"/>
  <c r="AS263" i="5"/>
  <c r="AU263" i="5" s="1"/>
  <c r="AS75" i="5"/>
  <c r="AU75" i="5" s="1"/>
  <c r="AS209" i="5"/>
  <c r="AT209" i="5" s="1"/>
  <c r="AE171" i="5"/>
  <c r="AE433" i="5"/>
  <c r="AS29" i="5"/>
  <c r="AT29" i="5" s="1"/>
  <c r="AS377" i="5"/>
  <c r="AU377" i="5" s="1"/>
  <c r="AS153" i="5"/>
  <c r="AT153" i="5" s="1"/>
  <c r="AE465" i="5"/>
  <c r="AD43" i="5"/>
  <c r="AD179" i="5"/>
  <c r="AS110" i="5"/>
  <c r="AU110" i="5" s="1"/>
  <c r="AE447" i="5"/>
  <c r="AD171" i="5"/>
  <c r="AS35" i="5"/>
  <c r="AT35" i="5" s="1"/>
  <c r="AS375" i="5"/>
  <c r="AT375" i="5" s="1"/>
  <c r="AE182" i="5"/>
  <c r="AD78" i="5"/>
  <c r="AS20" i="5"/>
  <c r="AT20" i="5" s="1"/>
  <c r="AD69" i="5"/>
  <c r="AE135" i="5"/>
  <c r="AD414" i="5"/>
  <c r="AE481" i="5"/>
  <c r="AD560" i="5"/>
  <c r="AS240" i="5"/>
  <c r="AT240" i="5" s="1"/>
  <c r="AE129" i="5"/>
  <c r="AD135" i="5"/>
  <c r="AE394" i="5"/>
  <c r="AD362" i="5"/>
  <c r="AS414" i="5"/>
  <c r="AT414" i="5" s="1"/>
  <c r="AD204" i="5"/>
  <c r="AS560" i="5"/>
  <c r="AT560" i="5" s="1"/>
  <c r="AS231" i="5"/>
  <c r="AU231" i="5" s="1"/>
  <c r="AS219" i="5"/>
  <c r="AT219" i="5" s="1"/>
  <c r="AS129" i="5"/>
  <c r="AT129" i="5" s="1"/>
  <c r="AE201" i="5"/>
  <c r="AD93" i="5"/>
  <c r="AE362" i="5"/>
  <c r="AS53" i="5"/>
  <c r="AT53" i="5" s="1"/>
  <c r="AS204" i="5"/>
  <c r="AT204" i="5" s="1"/>
  <c r="AE231" i="5"/>
  <c r="AE240" i="5"/>
  <c r="AE163" i="5"/>
  <c r="AD53" i="5"/>
  <c r="AD219" i="5"/>
  <c r="AS93" i="5"/>
  <c r="AT93" i="5" s="1"/>
  <c r="AS199" i="5"/>
  <c r="AT199" i="5" s="1"/>
  <c r="AE344" i="5"/>
  <c r="AS163" i="5"/>
  <c r="AT163" i="5" s="1"/>
  <c r="AS247" i="5"/>
  <c r="AT247" i="5" s="1"/>
  <c r="AE321" i="5"/>
  <c r="AD320" i="5"/>
  <c r="AS291" i="5"/>
  <c r="AU291" i="5" s="1"/>
  <c r="AE108" i="5"/>
  <c r="AD348" i="5"/>
  <c r="AS320" i="5"/>
  <c r="AT320" i="5" s="1"/>
  <c r="AD291" i="5"/>
  <c r="AE183" i="5"/>
  <c r="AE348" i="5"/>
  <c r="AU182" i="5"/>
  <c r="AK118" i="4"/>
  <c r="AT72" i="5"/>
  <c r="AE413" i="5"/>
  <c r="AD182" i="5"/>
  <c r="AJ118" i="4"/>
  <c r="AD413" i="5"/>
  <c r="AD72" i="5"/>
  <c r="AS406" i="5"/>
  <c r="AT406" i="5" s="1"/>
  <c r="AS480" i="5"/>
  <c r="AT480" i="5" s="1"/>
  <c r="AD45" i="5"/>
  <c r="AE317" i="5"/>
  <c r="AE20" i="5"/>
  <c r="AD317" i="5"/>
  <c r="AS272" i="5"/>
  <c r="AU272" i="5" s="1"/>
  <c r="Y26" i="4"/>
  <c r="Z26" i="4" s="1"/>
  <c r="X26" i="4"/>
  <c r="AJ26" i="4" s="1"/>
  <c r="AE26" i="4"/>
  <c r="AD272" i="5"/>
  <c r="AS45" i="5"/>
  <c r="AT45" i="5" s="1"/>
  <c r="AX45" i="5" s="1"/>
  <c r="AY45" i="5" s="1"/>
  <c r="AE323" i="5"/>
  <c r="AE559" i="5"/>
  <c r="AS323" i="5"/>
  <c r="AU323" i="5" s="1"/>
  <c r="AS559" i="5"/>
  <c r="AU559" i="5" s="1"/>
  <c r="AS409" i="5"/>
  <c r="AU409" i="5" s="1"/>
  <c r="AE387" i="5"/>
  <c r="AD409" i="5"/>
  <c r="AF12" i="4"/>
  <c r="AG12" i="4" s="1"/>
  <c r="AI12" i="4" s="1"/>
  <c r="AR11" i="5"/>
  <c r="Y22" i="4"/>
  <c r="Z22" i="4" s="1"/>
  <c r="AA22" i="4" s="1"/>
  <c r="AC22" i="4" s="1"/>
  <c r="AD22" i="4" s="1"/>
  <c r="AE22" i="4"/>
  <c r="AE129" i="4"/>
  <c r="X72" i="4"/>
  <c r="AJ72" i="4" s="1"/>
  <c r="AE72" i="4"/>
  <c r="AO72" i="4"/>
  <c r="AS11" i="5"/>
  <c r="AU11" i="5" s="1"/>
  <c r="Y148" i="4"/>
  <c r="Z148" i="4" s="1"/>
  <c r="AF148" i="4" s="1"/>
  <c r="AE148" i="4"/>
  <c r="Y109" i="4"/>
  <c r="Z109" i="4" s="1"/>
  <c r="AF109" i="4" s="1"/>
  <c r="AE109" i="4"/>
  <c r="AA143" i="4"/>
  <c r="AC143" i="4" s="1"/>
  <c r="AD143" i="4" s="1"/>
  <c r="AT127" i="5"/>
  <c r="AS287" i="5"/>
  <c r="AT287" i="5" s="1"/>
  <c r="AA42" i="4"/>
  <c r="AC42" i="4" s="1"/>
  <c r="AD42" i="4" s="1"/>
  <c r="AR96" i="4"/>
  <c r="AT96" i="4" s="1"/>
  <c r="AQ9" i="5"/>
  <c r="AE79" i="4"/>
  <c r="X129" i="4"/>
  <c r="AJ129" i="4" s="1"/>
  <c r="AF152" i="4"/>
  <c r="AG152" i="4" s="1"/>
  <c r="AI152" i="4" s="1"/>
  <c r="AS249" i="5"/>
  <c r="AU249" i="5" s="1"/>
  <c r="AF67" i="4"/>
  <c r="AG67" i="4" s="1"/>
  <c r="AI67" i="4" s="1"/>
  <c r="AE67" i="4"/>
  <c r="X67" i="4"/>
  <c r="AA67" i="4" s="1"/>
  <c r="AC67" i="4" s="1"/>
  <c r="AD67" i="4" s="1"/>
  <c r="X79" i="4"/>
  <c r="AJ79" i="4" s="1"/>
  <c r="AD130" i="5"/>
  <c r="AD449" i="5"/>
  <c r="X152" i="4"/>
  <c r="AA152" i="4" s="1"/>
  <c r="AC152" i="4" s="1"/>
  <c r="AD152" i="4" s="1"/>
  <c r="AK143" i="4"/>
  <c r="AE152" i="4"/>
  <c r="Y34" i="4"/>
  <c r="Z34" i="4" s="1"/>
  <c r="AE34" i="4"/>
  <c r="X34" i="4"/>
  <c r="AJ34" i="4" s="1"/>
  <c r="X133" i="4"/>
  <c r="AJ133" i="4" s="1"/>
  <c r="AE133" i="4"/>
  <c r="Y133" i="4"/>
  <c r="Z133" i="4" s="1"/>
  <c r="Y21" i="4"/>
  <c r="Z21" i="4" s="1"/>
  <c r="AE21" i="4"/>
  <c r="X21" i="4"/>
  <c r="AJ21" i="4" s="1"/>
  <c r="Y58" i="4"/>
  <c r="Z58" i="4" s="1"/>
  <c r="X58" i="4"/>
  <c r="AJ58" i="4" s="1"/>
  <c r="AE58" i="4"/>
  <c r="Y144" i="4"/>
  <c r="X144" i="4"/>
  <c r="AE144" i="4"/>
  <c r="Y24" i="4"/>
  <c r="Z24" i="4" s="1"/>
  <c r="AE24" i="4"/>
  <c r="X24" i="4"/>
  <c r="Y83" i="4"/>
  <c r="Z83" i="4" s="1"/>
  <c r="AE83" i="4"/>
  <c r="AE62" i="4"/>
  <c r="Y62" i="4"/>
  <c r="Z62" i="4" s="1"/>
  <c r="Y101" i="4"/>
  <c r="Z101" i="4" s="1"/>
  <c r="X101" i="4"/>
  <c r="AJ101" i="4" s="1"/>
  <c r="AE101" i="4"/>
  <c r="AF79" i="4"/>
  <c r="Y132" i="4"/>
  <c r="Z132" i="4" s="1"/>
  <c r="AF132" i="4" s="1"/>
  <c r="AE132" i="4"/>
  <c r="X132" i="4"/>
  <c r="Y94" i="4"/>
  <c r="Z94" i="4" s="1"/>
  <c r="X94" i="4"/>
  <c r="AA140" i="4"/>
  <c r="AC140" i="4" s="1"/>
  <c r="AD140" i="4" s="1"/>
  <c r="AK140" i="4"/>
  <c r="AF140" i="4"/>
  <c r="X62" i="4"/>
  <c r="AJ62" i="4" s="1"/>
  <c r="X83" i="4"/>
  <c r="AJ83" i="4" s="1"/>
  <c r="X141" i="4"/>
  <c r="AJ141" i="4" s="1"/>
  <c r="Y141" i="4"/>
  <c r="AE141" i="4"/>
  <c r="Y59" i="4"/>
  <c r="Z59" i="4" s="1"/>
  <c r="AE59" i="4"/>
  <c r="Y10" i="4"/>
  <c r="Z10" i="4" s="1"/>
  <c r="X10" i="4"/>
  <c r="AJ10" i="4" s="1"/>
  <c r="AE10" i="4"/>
  <c r="Y130" i="4"/>
  <c r="X130" i="4"/>
  <c r="AE130" i="4"/>
  <c r="X155" i="4"/>
  <c r="Y155" i="4"/>
  <c r="AF105" i="4"/>
  <c r="AA105" i="4"/>
  <c r="AC105" i="4" s="1"/>
  <c r="AD105" i="4" s="1"/>
  <c r="AK105" i="4"/>
  <c r="AD287" i="5"/>
  <c r="AD249" i="5"/>
  <c r="AF76" i="4"/>
  <c r="AA76" i="4"/>
  <c r="AC76" i="4" s="1"/>
  <c r="AD76" i="4" s="1"/>
  <c r="AK76" i="4"/>
  <c r="AE449" i="5"/>
  <c r="AE292" i="5"/>
  <c r="AS393" i="5"/>
  <c r="AT393" i="5" s="1"/>
  <c r="AS292" i="5"/>
  <c r="AU292" i="5" s="1"/>
  <c r="AS391" i="5"/>
  <c r="AT391" i="5" s="1"/>
  <c r="AD393" i="5"/>
  <c r="AE391" i="5"/>
  <c r="AA84" i="4"/>
  <c r="AC84" i="4" s="1"/>
  <c r="AD84" i="4" s="1"/>
  <c r="AK84" i="4"/>
  <c r="AF84" i="4"/>
  <c r="AE286" i="5"/>
  <c r="AD286" i="5"/>
  <c r="AS162" i="5"/>
  <c r="AT162" i="5" s="1"/>
  <c r="AD123" i="5"/>
  <c r="AD74" i="5"/>
  <c r="AG143" i="4"/>
  <c r="AI143" i="4" s="1"/>
  <c r="AO143" i="4"/>
  <c r="AD11" i="5"/>
  <c r="AG75" i="4"/>
  <c r="AI75" i="4" s="1"/>
  <c r="AE11" i="5"/>
  <c r="AS235" i="5"/>
  <c r="AU235" i="5" s="1"/>
  <c r="AE10" i="5"/>
  <c r="AS10" i="5"/>
  <c r="AU10" i="5" s="1"/>
  <c r="AD235" i="5"/>
  <c r="AE123" i="5"/>
  <c r="AE74" i="5"/>
  <c r="AE162" i="5"/>
  <c r="AS299" i="5"/>
  <c r="AU299" i="5" s="1"/>
  <c r="AA123" i="4"/>
  <c r="AC123" i="4" s="1"/>
  <c r="AD123" i="4" s="1"/>
  <c r="AO108" i="4"/>
  <c r="AK40" i="4"/>
  <c r="AA32" i="4"/>
  <c r="AC32" i="4" s="1"/>
  <c r="AD32" i="4" s="1"/>
  <c r="AD557" i="5"/>
  <c r="AE549" i="5"/>
  <c r="AK123" i="4"/>
  <c r="AE271" i="5"/>
  <c r="AA40" i="4"/>
  <c r="AC40" i="4" s="1"/>
  <c r="AD40" i="4" s="1"/>
  <c r="AR40" i="4" s="1"/>
  <c r="AT40" i="4" s="1"/>
  <c r="AD311" i="5"/>
  <c r="AS8" i="5"/>
  <c r="AT8" i="5" s="1"/>
  <c r="AK99" i="4"/>
  <c r="AS169" i="5"/>
  <c r="AT169" i="5" s="1"/>
  <c r="AE340" i="5"/>
  <c r="AD397" i="5"/>
  <c r="AD538" i="5"/>
  <c r="AE407" i="5"/>
  <c r="AD176" i="5"/>
  <c r="AE311" i="5"/>
  <c r="AE130" i="5"/>
  <c r="AS340" i="5"/>
  <c r="AU340" i="5" s="1"/>
  <c r="AE412" i="5"/>
  <c r="AS271" i="5"/>
  <c r="AT271" i="5" s="1"/>
  <c r="AD445" i="5"/>
  <c r="AS95" i="5"/>
  <c r="AT95" i="5" s="1"/>
  <c r="AE538" i="5"/>
  <c r="AS412" i="5"/>
  <c r="AT412" i="5" s="1"/>
  <c r="AD334" i="5"/>
  <c r="AE445" i="5"/>
  <c r="AD95" i="5"/>
  <c r="AD458" i="5"/>
  <c r="AS79" i="5"/>
  <c r="AT79" i="5" s="1"/>
  <c r="AX78" i="5" s="1"/>
  <c r="AY78" i="5" s="1"/>
  <c r="AE52" i="5"/>
  <c r="AS458" i="5"/>
  <c r="AU458" i="5" s="1"/>
  <c r="AE79" i="5"/>
  <c r="AS52" i="5"/>
  <c r="AU52" i="5" s="1"/>
  <c r="AD233" i="5"/>
  <c r="AE510" i="5"/>
  <c r="AE467" i="5"/>
  <c r="AS233" i="5"/>
  <c r="AU233" i="5" s="1"/>
  <c r="AS396" i="5"/>
  <c r="AT396" i="5" s="1"/>
  <c r="AD169" i="5"/>
  <c r="AS510" i="5"/>
  <c r="AU510" i="5" s="1"/>
  <c r="AD467" i="5"/>
  <c r="AE299" i="5"/>
  <c r="AD396" i="5"/>
  <c r="AE397" i="5"/>
  <c r="AS443" i="5"/>
  <c r="AU443" i="5" s="1"/>
  <c r="AE373" i="5"/>
  <c r="AD448" i="5"/>
  <c r="AS364" i="5"/>
  <c r="AT364" i="5" s="1"/>
  <c r="AE215" i="5"/>
  <c r="AD215" i="5"/>
  <c r="AS549" i="5"/>
  <c r="AU549" i="5" s="1"/>
  <c r="AE557" i="5"/>
  <c r="AE448" i="5"/>
  <c r="AD364" i="5"/>
  <c r="AS56" i="5"/>
  <c r="AU56" i="5" s="1"/>
  <c r="AE370" i="5"/>
  <c r="AE107" i="5"/>
  <c r="AE57" i="5"/>
  <c r="AD39" i="5"/>
  <c r="AS191" i="5"/>
  <c r="AU191" i="5" s="1"/>
  <c r="AE172" i="5"/>
  <c r="AS490" i="5"/>
  <c r="AT490" i="5" s="1"/>
  <c r="AD464" i="5"/>
  <c r="AD373" i="5"/>
  <c r="AS539" i="5"/>
  <c r="AT539" i="5" s="1"/>
  <c r="AD443" i="5"/>
  <c r="AS550" i="5"/>
  <c r="AU550" i="5" s="1"/>
  <c r="AS503" i="5"/>
  <c r="AT503" i="5" s="1"/>
  <c r="AE490" i="5"/>
  <c r="AE539" i="5"/>
  <c r="AE550" i="5"/>
  <c r="AD290" i="5"/>
  <c r="AE464" i="5"/>
  <c r="AE252" i="5"/>
  <c r="AD96" i="5"/>
  <c r="AS154" i="5"/>
  <c r="AU154" i="5" s="1"/>
  <c r="AE290" i="5"/>
  <c r="AD370" i="5"/>
  <c r="AS230" i="5"/>
  <c r="AT230" i="5" s="1"/>
  <c r="AD252" i="5"/>
  <c r="AS96" i="5"/>
  <c r="AU96" i="5" s="1"/>
  <c r="AE154" i="5"/>
  <c r="AD542" i="5"/>
  <c r="AS457" i="5"/>
  <c r="AT457" i="5" s="1"/>
  <c r="AE457" i="5"/>
  <c r="AE230" i="5"/>
  <c r="AS542" i="5"/>
  <c r="AU542" i="5" s="1"/>
  <c r="AD191" i="5"/>
  <c r="AS57" i="5"/>
  <c r="AT57" i="5" s="1"/>
  <c r="AS207" i="5"/>
  <c r="AU207" i="5" s="1"/>
  <c r="AE207" i="5"/>
  <c r="AE212" i="5"/>
  <c r="AD284" i="5"/>
  <c r="AD212" i="5"/>
  <c r="AE418" i="5"/>
  <c r="AE85" i="5"/>
  <c r="AS196" i="5"/>
  <c r="AU196" i="5" s="1"/>
  <c r="AS352" i="5"/>
  <c r="AU352" i="5" s="1"/>
  <c r="AE161" i="5"/>
  <c r="AE64" i="5"/>
  <c r="AD547" i="5"/>
  <c r="AE288" i="5"/>
  <c r="AD187" i="5"/>
  <c r="AD435" i="5"/>
  <c r="AE305" i="5"/>
  <c r="AE187" i="5"/>
  <c r="AS435" i="5"/>
  <c r="AT435" i="5" s="1"/>
  <c r="AD305" i="5"/>
  <c r="AD71" i="5"/>
  <c r="AD315" i="5"/>
  <c r="AS315" i="5"/>
  <c r="AT315" i="5" s="1"/>
  <c r="AE250" i="5"/>
  <c r="AE156" i="5"/>
  <c r="AS346" i="5"/>
  <c r="AT346" i="5" s="1"/>
  <c r="AD149" i="5"/>
  <c r="AE312" i="5"/>
  <c r="AS124" i="5"/>
  <c r="AU124" i="5" s="1"/>
  <c r="AD367" i="5"/>
  <c r="AE124" i="5"/>
  <c r="AE526" i="5"/>
  <c r="AS307" i="5"/>
  <c r="AT307" i="5" s="1"/>
  <c r="AS211" i="5"/>
  <c r="AT211" i="5" s="1"/>
  <c r="AS526" i="5"/>
  <c r="AU526" i="5" s="1"/>
  <c r="AE531" i="5"/>
  <c r="AD312" i="5"/>
  <c r="AD225" i="5"/>
  <c r="AD159" i="5"/>
  <c r="AS330" i="5"/>
  <c r="AT330" i="5" s="1"/>
  <c r="AD485" i="5"/>
  <c r="AS419" i="5"/>
  <c r="AU419" i="5" s="1"/>
  <c r="AD330" i="5"/>
  <c r="AE485" i="5"/>
  <c r="AS139" i="5"/>
  <c r="AT139" i="5" s="1"/>
  <c r="AS185" i="5"/>
  <c r="AT185" i="5" s="1"/>
  <c r="AS519" i="5"/>
  <c r="AU519" i="5" s="1"/>
  <c r="AS227" i="5"/>
  <c r="AU227" i="5" s="1"/>
  <c r="AE246" i="5"/>
  <c r="AE224" i="5"/>
  <c r="AD47" i="5"/>
  <c r="AS487" i="5"/>
  <c r="AU487" i="5" s="1"/>
  <c r="AA124" i="4"/>
  <c r="AC124" i="4" s="1"/>
  <c r="AD124" i="4" s="1"/>
  <c r="AE487" i="5"/>
  <c r="AE326" i="5"/>
  <c r="AD167" i="5"/>
  <c r="AD28" i="5"/>
  <c r="AS326" i="5"/>
  <c r="AU326" i="5" s="1"/>
  <c r="AE118" i="5"/>
  <c r="AE176" i="5"/>
  <c r="AS407" i="5"/>
  <c r="AT407" i="5" s="1"/>
  <c r="AS39" i="5"/>
  <c r="AT39" i="5" s="1"/>
  <c r="AE98" i="5"/>
  <c r="AS172" i="5"/>
  <c r="AU172" i="5" s="1"/>
  <c r="AE284" i="5"/>
  <c r="AS547" i="5"/>
  <c r="AU547" i="5" s="1"/>
  <c r="AD488" i="5"/>
  <c r="AS418" i="5"/>
  <c r="AT418" i="5" s="1"/>
  <c r="AE196" i="5"/>
  <c r="AS357" i="5"/>
  <c r="AU357" i="5" s="1"/>
  <c r="AD358" i="5"/>
  <c r="AS98" i="5"/>
  <c r="AT98" i="5" s="1"/>
  <c r="AE488" i="5"/>
  <c r="AD357" i="5"/>
  <c r="AD144" i="5"/>
  <c r="AS322" i="5"/>
  <c r="AT322" i="5" s="1"/>
  <c r="AE144" i="5"/>
  <c r="AS107" i="5"/>
  <c r="AU107" i="5" s="1"/>
  <c r="AE352" i="5"/>
  <c r="AD85" i="5"/>
  <c r="AD322" i="5"/>
  <c r="AD161" i="5"/>
  <c r="AS64" i="5"/>
  <c r="AT64" i="5" s="1"/>
  <c r="AD8" i="5"/>
  <c r="AD139" i="5"/>
  <c r="AE346" i="5"/>
  <c r="AE423" i="5"/>
  <c r="AE185" i="5"/>
  <c r="AE419" i="5"/>
  <c r="AE159" i="5"/>
  <c r="AE227" i="5"/>
  <c r="AD37" i="5"/>
  <c r="AS246" i="5"/>
  <c r="AU246" i="5" s="1"/>
  <c r="AD524" i="5"/>
  <c r="AS423" i="5"/>
  <c r="AU423" i="5" s="1"/>
  <c r="AE37" i="5"/>
  <c r="AE524" i="5"/>
  <c r="AE319" i="5"/>
  <c r="AE100" i="5"/>
  <c r="AD319" i="5"/>
  <c r="AD273" i="5"/>
  <c r="AE442" i="5"/>
  <c r="AS225" i="5"/>
  <c r="AT225" i="5" s="1"/>
  <c r="AD100" i="5"/>
  <c r="AS273" i="5"/>
  <c r="AT273" i="5" s="1"/>
  <c r="AS281" i="5"/>
  <c r="AT281" i="5" s="1"/>
  <c r="AE408" i="5"/>
  <c r="AS442" i="5"/>
  <c r="AU442" i="5" s="1"/>
  <c r="AD281" i="5"/>
  <c r="AE535" i="5"/>
  <c r="AD86" i="5"/>
  <c r="AS535" i="5"/>
  <c r="AU535" i="5" s="1"/>
  <c r="AE489" i="5"/>
  <c r="AO68" i="4"/>
  <c r="AD489" i="5"/>
  <c r="AS224" i="5"/>
  <c r="AT224" i="5" s="1"/>
  <c r="AE61" i="5"/>
  <c r="AK68" i="4"/>
  <c r="AE355" i="5"/>
  <c r="AE430" i="5"/>
  <c r="AS61" i="5"/>
  <c r="AU61" i="5" s="1"/>
  <c r="AE177" i="5"/>
  <c r="AS28" i="5"/>
  <c r="AU28" i="5" s="1"/>
  <c r="AS355" i="5"/>
  <c r="AT355" i="5" s="1"/>
  <c r="AS430" i="5"/>
  <c r="AU430" i="5" s="1"/>
  <c r="AD256" i="5"/>
  <c r="AE337" i="5"/>
  <c r="AD389" i="5"/>
  <c r="AD56" i="5"/>
  <c r="AD307" i="5"/>
  <c r="AD211" i="5"/>
  <c r="AG103" i="4"/>
  <c r="AI103" i="4" s="1"/>
  <c r="AD87" i="5"/>
  <c r="AE493" i="5"/>
  <c r="AA68" i="4"/>
  <c r="AC68" i="4" s="1"/>
  <c r="AD68" i="4" s="1"/>
  <c r="AA19" i="4"/>
  <c r="AC19" i="4" s="1"/>
  <c r="AD19" i="4" s="1"/>
  <c r="AR19" i="4" s="1"/>
  <c r="AT19" i="4" s="1"/>
  <c r="AS493" i="5"/>
  <c r="AT493" i="5" s="1"/>
  <c r="AS195" i="5"/>
  <c r="AT195" i="5" s="1"/>
  <c r="AS92" i="5"/>
  <c r="AT92" i="5" s="1"/>
  <c r="AK9" i="4"/>
  <c r="AS190" i="5"/>
  <c r="AU190" i="5" s="1"/>
  <c r="AS30" i="5"/>
  <c r="AU30" i="5" s="1"/>
  <c r="AD195" i="5"/>
  <c r="AK103" i="4"/>
  <c r="AE190" i="5"/>
  <c r="AE30" i="5"/>
  <c r="AS41" i="5"/>
  <c r="AU41" i="5" s="1"/>
  <c r="AD439" i="5"/>
  <c r="AK85" i="4"/>
  <c r="AD192" i="5"/>
  <c r="AS86" i="5"/>
  <c r="AT86" i="5" s="1"/>
  <c r="AS177" i="5"/>
  <c r="AT177" i="5" s="1"/>
  <c r="AS164" i="5"/>
  <c r="AU164" i="5" s="1"/>
  <c r="AD164" i="5"/>
  <c r="AE461" i="5"/>
  <c r="AE192" i="5"/>
  <c r="AE347" i="5"/>
  <c r="AE146" i="5"/>
  <c r="AE41" i="5"/>
  <c r="AD51" i="5"/>
  <c r="AS527" i="5"/>
  <c r="AU527" i="5" s="1"/>
  <c r="AD337" i="5"/>
  <c r="AE87" i="5"/>
  <c r="AK82" i="4"/>
  <c r="AD461" i="5"/>
  <c r="AS367" i="5"/>
  <c r="AU367" i="5" s="1"/>
  <c r="AS51" i="5"/>
  <c r="AU51" i="5" s="1"/>
  <c r="AA120" i="4"/>
  <c r="AC120" i="4" s="1"/>
  <c r="AD120" i="4" s="1"/>
  <c r="AA99" i="4"/>
  <c r="AC99" i="4" s="1"/>
  <c r="AD99" i="4" s="1"/>
  <c r="AD527" i="5"/>
  <c r="AK153" i="4"/>
  <c r="AD408" i="5"/>
  <c r="AS389" i="5"/>
  <c r="AT389" i="5" s="1"/>
  <c r="AA103" i="4"/>
  <c r="AC103" i="4" s="1"/>
  <c r="AD103" i="4" s="1"/>
  <c r="AS368" i="5"/>
  <c r="AT368" i="5" s="1"/>
  <c r="AA9" i="4"/>
  <c r="AC9" i="4" s="1"/>
  <c r="AD9" i="4" s="1"/>
  <c r="AR9" i="4" s="1"/>
  <c r="AT9" i="4" s="1"/>
  <c r="AE368" i="5"/>
  <c r="AE63" i="5"/>
  <c r="AE131" i="5"/>
  <c r="AS131" i="5"/>
  <c r="AT131" i="5" s="1"/>
  <c r="AE167" i="5"/>
  <c r="AK81" i="4"/>
  <c r="AD347" i="5"/>
  <c r="AD146" i="5"/>
  <c r="AD63" i="5"/>
  <c r="AS439" i="5"/>
  <c r="AT439" i="5" s="1"/>
  <c r="AG97" i="4"/>
  <c r="AI97" i="4" s="1"/>
  <c r="AA45" i="4"/>
  <c r="AC45" i="4" s="1"/>
  <c r="AD45" i="4" s="1"/>
  <c r="AA102" i="4"/>
  <c r="AC102" i="4" s="1"/>
  <c r="AD102" i="4" s="1"/>
  <c r="AR102" i="4" s="1"/>
  <c r="AT102" i="4" s="1"/>
  <c r="AS156" i="5"/>
  <c r="AU156" i="5" s="1"/>
  <c r="AS71" i="5"/>
  <c r="AT71" i="5" s="1"/>
  <c r="AD170" i="5"/>
  <c r="AE170" i="5"/>
  <c r="AS250" i="5"/>
  <c r="AT250" i="5" s="1"/>
  <c r="AF32" i="4"/>
  <c r="AG32" i="4" s="1"/>
  <c r="AI32" i="4" s="1"/>
  <c r="AA122" i="4"/>
  <c r="AC122" i="4" s="1"/>
  <c r="AD122" i="4" s="1"/>
  <c r="AA74" i="4"/>
  <c r="AC74" i="4" s="1"/>
  <c r="AD74" i="4" s="1"/>
  <c r="AR74" i="4" s="1"/>
  <c r="AT74" i="4" s="1"/>
  <c r="AK45" i="4"/>
  <c r="AS415" i="5"/>
  <c r="AU415" i="5" s="1"/>
  <c r="AA60" i="4"/>
  <c r="AC60" i="4" s="1"/>
  <c r="AD60" i="4" s="1"/>
  <c r="AD415" i="5"/>
  <c r="AO45" i="4"/>
  <c r="AD516" i="5"/>
  <c r="AA82" i="4"/>
  <c r="AC82" i="4" s="1"/>
  <c r="AD82" i="4" s="1"/>
  <c r="AR82" i="4" s="1"/>
  <c r="AT82" i="4" s="1"/>
  <c r="AS516" i="5"/>
  <c r="AU516" i="5" s="1"/>
  <c r="AS152" i="5"/>
  <c r="AU152" i="5" s="1"/>
  <c r="AE152" i="5"/>
  <c r="AD288" i="5"/>
  <c r="AK74" i="4"/>
  <c r="AK71" i="4"/>
  <c r="AE149" i="5"/>
  <c r="AF120" i="4"/>
  <c r="AO120" i="4" s="1"/>
  <c r="AS531" i="5"/>
  <c r="AU531" i="5" s="1"/>
  <c r="AE554" i="5"/>
  <c r="AS334" i="5"/>
  <c r="AU334" i="5" s="1"/>
  <c r="AE256" i="5"/>
  <c r="AD554" i="5"/>
  <c r="AK120" i="4"/>
  <c r="AK19" i="4"/>
  <c r="AE258" i="5"/>
  <c r="AE276" i="5"/>
  <c r="AE328" i="5"/>
  <c r="AS358" i="5"/>
  <c r="AU358" i="5" s="1"/>
  <c r="AE519" i="5"/>
  <c r="AD92" i="5"/>
  <c r="AS372" i="5"/>
  <c r="AT372" i="5" s="1"/>
  <c r="AS276" i="5"/>
  <c r="AT276" i="5" s="1"/>
  <c r="AS507" i="5"/>
  <c r="AT507" i="5" s="1"/>
  <c r="AD258" i="5"/>
  <c r="AS328" i="5"/>
  <c r="AT328" i="5" s="1"/>
  <c r="AE507" i="5"/>
  <c r="AK80" i="4"/>
  <c r="AA81" i="4"/>
  <c r="AC81" i="4" s="1"/>
  <c r="AD81" i="4" s="1"/>
  <c r="AF52" i="4"/>
  <c r="AA52" i="4"/>
  <c r="AC52" i="4" s="1"/>
  <c r="AD52" i="4" s="1"/>
  <c r="AE431" i="5"/>
  <c r="AS89" i="5"/>
  <c r="AU89" i="5" s="1"/>
  <c r="AS47" i="5"/>
  <c r="AT47" i="5" s="1"/>
  <c r="AE474" i="5"/>
  <c r="AF116" i="4"/>
  <c r="AK116" i="4"/>
  <c r="AJ108" i="4"/>
  <c r="AK108" i="4"/>
  <c r="AF38" i="4"/>
  <c r="AA38" i="4"/>
  <c r="AC38" i="4" s="1"/>
  <c r="AD38" i="4" s="1"/>
  <c r="AK38" i="4"/>
  <c r="AF63" i="4"/>
  <c r="AA63" i="4"/>
  <c r="AC63" i="4" s="1"/>
  <c r="AD63" i="4" s="1"/>
  <c r="AK63" i="4"/>
  <c r="AO70" i="4"/>
  <c r="AG70" i="4"/>
  <c r="AI70" i="4" s="1"/>
  <c r="AS431" i="5"/>
  <c r="AU431" i="5" s="1"/>
  <c r="AE89" i="5"/>
  <c r="AS474" i="5"/>
  <c r="AT474" i="5" s="1"/>
  <c r="B93" i="2"/>
  <c r="B113" i="2" s="1"/>
  <c r="H25" i="1" s="1"/>
  <c r="AG44" i="4"/>
  <c r="AI44" i="4" s="1"/>
  <c r="AO44" i="4"/>
  <c r="AF137" i="4"/>
  <c r="AK137" i="4"/>
  <c r="AA137" i="4"/>
  <c r="AC137" i="4" s="1"/>
  <c r="AD137" i="4" s="1"/>
  <c r="AA126" i="4"/>
  <c r="AC126" i="4" s="1"/>
  <c r="AD126" i="4" s="1"/>
  <c r="AF126" i="4"/>
  <c r="AK126" i="4"/>
  <c r="AF95" i="4"/>
  <c r="AK95" i="4"/>
  <c r="AA95" i="4"/>
  <c r="AC95" i="4" s="1"/>
  <c r="AD95" i="4" s="1"/>
  <c r="AK64" i="4"/>
  <c r="AF64" i="4"/>
  <c r="AA64" i="4"/>
  <c r="AC64" i="4" s="1"/>
  <c r="AD64" i="4" s="1"/>
  <c r="AS545" i="5"/>
  <c r="AU545" i="5" s="1"/>
  <c r="AD109" i="5"/>
  <c r="AA117" i="4"/>
  <c r="AC117" i="4" s="1"/>
  <c r="AD117" i="4" s="1"/>
  <c r="AA75" i="4"/>
  <c r="AC75" i="4" s="1"/>
  <c r="AD75" i="4" s="1"/>
  <c r="AF86" i="4"/>
  <c r="AA86" i="4"/>
  <c r="AC86" i="4" s="1"/>
  <c r="AD86" i="4" s="1"/>
  <c r="AK86" i="4"/>
  <c r="AJ27" i="4"/>
  <c r="AA27" i="4"/>
  <c r="AC27" i="4" s="1"/>
  <c r="AD27" i="4" s="1"/>
  <c r="AR27" i="4" s="1"/>
  <c r="AT27" i="4" s="1"/>
  <c r="AK27" i="4"/>
  <c r="AF69" i="4"/>
  <c r="AK69" i="4"/>
  <c r="AA69" i="4"/>
  <c r="AC69" i="4" s="1"/>
  <c r="AD69" i="4" s="1"/>
  <c r="AE545" i="5"/>
  <c r="AE109" i="5"/>
  <c r="AD324" i="5"/>
  <c r="AF100" i="4"/>
  <c r="AK100" i="4"/>
  <c r="AA100" i="4"/>
  <c r="AC100" i="4" s="1"/>
  <c r="AD100" i="4" s="1"/>
  <c r="AK30" i="4"/>
  <c r="AA157" i="4"/>
  <c r="AC157" i="4" s="1"/>
  <c r="AD157" i="4" s="1"/>
  <c r="AF157" i="4"/>
  <c r="AK157" i="4"/>
  <c r="AF14" i="4"/>
  <c r="AF150" i="4"/>
  <c r="AA150" i="4"/>
  <c r="AC150" i="4" s="1"/>
  <c r="AD150" i="4" s="1"/>
  <c r="AK150" i="4"/>
  <c r="AA111" i="4"/>
  <c r="AC111" i="4" s="1"/>
  <c r="AD111" i="4" s="1"/>
  <c r="AS84" i="5"/>
  <c r="AT84" i="5" s="1"/>
  <c r="AE454" i="5"/>
  <c r="AA116" i="4"/>
  <c r="AC116" i="4" s="1"/>
  <c r="AD116" i="4" s="1"/>
  <c r="AJ116" i="4"/>
  <c r="AA71" i="4"/>
  <c r="AC71" i="4" s="1"/>
  <c r="AD71" i="4" s="1"/>
  <c r="AR71" i="4" s="1"/>
  <c r="AT71" i="4" s="1"/>
  <c r="AA30" i="4"/>
  <c r="AC30" i="4" s="1"/>
  <c r="AD30" i="4" s="1"/>
  <c r="AR30" i="4" s="1"/>
  <c r="AT30" i="4" s="1"/>
  <c r="AF54" i="4"/>
  <c r="AA54" i="4"/>
  <c r="AC54" i="4" s="1"/>
  <c r="AD54" i="4" s="1"/>
  <c r="AK54" i="4"/>
  <c r="AA44" i="4"/>
  <c r="AC44" i="4" s="1"/>
  <c r="AD44" i="4" s="1"/>
  <c r="AJ44" i="4"/>
  <c r="AK128" i="4"/>
  <c r="AF128" i="4"/>
  <c r="AA128" i="4"/>
  <c r="AC128" i="4" s="1"/>
  <c r="AD128" i="4" s="1"/>
  <c r="AK111" i="4"/>
  <c r="AA66" i="4"/>
  <c r="AC66" i="4" s="1"/>
  <c r="AD66" i="4" s="1"/>
  <c r="AF77" i="4"/>
  <c r="AA77" i="4"/>
  <c r="AC77" i="4" s="1"/>
  <c r="AD77" i="4" s="1"/>
  <c r="AK77" i="4"/>
  <c r="AE324" i="5"/>
  <c r="AE84" i="5"/>
  <c r="AD372" i="5"/>
  <c r="AK122" i="4"/>
  <c r="AD454" i="5"/>
  <c r="AK75" i="4"/>
  <c r="AO123" i="4"/>
  <c r="AG123" i="4"/>
  <c r="AI123" i="4" s="1"/>
  <c r="AA108" i="4"/>
  <c r="AC108" i="4" s="1"/>
  <c r="AD108" i="4" s="1"/>
  <c r="AA8" i="4"/>
  <c r="AC8" i="4" s="1"/>
  <c r="AD8" i="4" s="1"/>
  <c r="AF8" i="4"/>
  <c r="AK8" i="4"/>
  <c r="AA134" i="4"/>
  <c r="AC134" i="4" s="1"/>
  <c r="AD134" i="4" s="1"/>
  <c r="AF134" i="4"/>
  <c r="AK134" i="4"/>
  <c r="AA93" i="4"/>
  <c r="AC93" i="4" s="1"/>
  <c r="AD93" i="4" s="1"/>
  <c r="AF93" i="4"/>
  <c r="AK93" i="4"/>
  <c r="AO111" i="4"/>
  <c r="AG111" i="4"/>
  <c r="AI111" i="4" s="1"/>
  <c r="AK52" i="4"/>
  <c r="AA80" i="4"/>
  <c r="AC80" i="4" s="1"/>
  <c r="AD80" i="4" s="1"/>
  <c r="AK47" i="4"/>
  <c r="AF47" i="4"/>
  <c r="AA47" i="4"/>
  <c r="AC47" i="4" s="1"/>
  <c r="AD47" i="4" s="1"/>
  <c r="AF127" i="4"/>
  <c r="AA127" i="4"/>
  <c r="AC127" i="4" s="1"/>
  <c r="AD127" i="4" s="1"/>
  <c r="AK127" i="4"/>
  <c r="AF135" i="4"/>
  <c r="AJ70" i="4"/>
  <c r="AA70" i="4"/>
  <c r="AC70" i="4" s="1"/>
  <c r="AD70" i="4" s="1"/>
  <c r="AF35" i="4"/>
  <c r="AA35" i="4"/>
  <c r="AC35" i="4" s="1"/>
  <c r="AD35" i="4" s="1"/>
  <c r="AK35" i="4"/>
  <c r="AF23" i="4"/>
  <c r="AA23" i="4"/>
  <c r="AC23" i="4" s="1"/>
  <c r="AD23" i="4" s="1"/>
  <c r="AK23" i="4"/>
  <c r="AD118" i="5"/>
  <c r="AS242" i="5"/>
  <c r="AU242" i="5" s="1"/>
  <c r="AE91" i="5"/>
  <c r="AE242" i="5"/>
  <c r="AE484" i="5"/>
  <c r="AS88" i="5"/>
  <c r="AU88" i="5" s="1"/>
  <c r="AD91" i="5"/>
  <c r="AS497" i="5"/>
  <c r="AU497" i="5" s="1"/>
  <c r="AD484" i="5"/>
  <c r="AD88" i="5"/>
  <c r="AD497" i="5"/>
  <c r="AD503" i="5"/>
  <c r="AE9" i="5"/>
  <c r="AS9" i="5"/>
  <c r="AD9" i="5"/>
  <c r="AO85" i="4"/>
  <c r="AK89" i="4"/>
  <c r="AK65" i="4"/>
  <c r="AO81" i="4"/>
  <c r="AA151" i="4"/>
  <c r="AC151" i="4" s="1"/>
  <c r="AD151" i="4" s="1"/>
  <c r="AR151" i="4" s="1"/>
  <c r="AT151" i="4" s="1"/>
  <c r="AG49" i="4"/>
  <c r="AI49" i="4" s="1"/>
  <c r="AR49" i="4" s="1"/>
  <c r="AT49" i="4" s="1"/>
  <c r="AA153" i="4"/>
  <c r="AC153" i="4" s="1"/>
  <c r="AD153" i="4" s="1"/>
  <c r="AK117" i="4"/>
  <c r="AK151" i="4"/>
  <c r="AG114" i="4"/>
  <c r="AI114" i="4" s="1"/>
  <c r="AK124" i="4"/>
  <c r="AK13" i="4"/>
  <c r="AG43" i="4"/>
  <c r="AI43" i="4" s="1"/>
  <c r="AA13" i="4"/>
  <c r="AC13" i="4" s="1"/>
  <c r="AD13" i="4" s="1"/>
  <c r="AO17" i="4"/>
  <c r="AK92" i="4"/>
  <c r="AA65" i="4"/>
  <c r="AC65" i="4" s="1"/>
  <c r="AD65" i="4" s="1"/>
  <c r="AG149" i="4"/>
  <c r="AI149" i="4" s="1"/>
  <c r="AK51" i="4"/>
  <c r="AA89" i="4"/>
  <c r="AC89" i="4" s="1"/>
  <c r="AD89" i="4" s="1"/>
  <c r="AR89" i="4" s="1"/>
  <c r="AT89" i="4" s="1"/>
  <c r="AA17" i="4"/>
  <c r="AC17" i="4" s="1"/>
  <c r="AD17" i="4" s="1"/>
  <c r="AK136" i="4"/>
  <c r="AG139" i="4"/>
  <c r="AI139" i="4" s="1"/>
  <c r="AR139" i="4" s="1"/>
  <c r="AT139" i="4" s="1"/>
  <c r="AA92" i="4"/>
  <c r="AC92" i="4" s="1"/>
  <c r="AD92" i="4" s="1"/>
  <c r="AK97" i="4"/>
  <c r="AK17" i="4"/>
  <c r="AA48" i="4"/>
  <c r="AC48" i="4" s="1"/>
  <c r="AD48" i="4" s="1"/>
  <c r="AA51" i="4"/>
  <c r="AC51" i="4" s="1"/>
  <c r="AD51" i="4" s="1"/>
  <c r="AK55" i="4"/>
  <c r="AA97" i="4"/>
  <c r="AC97" i="4" s="1"/>
  <c r="AD97" i="4" s="1"/>
  <c r="AA136" i="4"/>
  <c r="AC136" i="4" s="1"/>
  <c r="AD136" i="4" s="1"/>
  <c r="AR136" i="4" s="1"/>
  <c r="AT136" i="4" s="1"/>
  <c r="AA85" i="4"/>
  <c r="AC85" i="4" s="1"/>
  <c r="AD85" i="4" s="1"/>
  <c r="AA90" i="4"/>
  <c r="AC90" i="4" s="1"/>
  <c r="AD90" i="4" s="1"/>
  <c r="AK138" i="4"/>
  <c r="AJ25" i="4"/>
  <c r="AA25" i="4"/>
  <c r="AC25" i="4" s="1"/>
  <c r="AD25" i="4" s="1"/>
  <c r="AR25" i="4" s="1"/>
  <c r="AT25" i="4" s="1"/>
  <c r="AA113" i="4"/>
  <c r="AC113" i="4" s="1"/>
  <c r="AD113" i="4" s="1"/>
  <c r="AA114" i="4"/>
  <c r="AC114" i="4" s="1"/>
  <c r="AD114" i="4" s="1"/>
  <c r="AA138" i="4"/>
  <c r="AC138" i="4" s="1"/>
  <c r="AD138" i="4" s="1"/>
  <c r="AJ104" i="4"/>
  <c r="AA104" i="4"/>
  <c r="AC104" i="4" s="1"/>
  <c r="AD104" i="4" s="1"/>
  <c r="AK114" i="4"/>
  <c r="AK16" i="4"/>
  <c r="AJ41" i="4"/>
  <c r="AA41" i="4"/>
  <c r="AC41" i="4" s="1"/>
  <c r="AD41" i="4" s="1"/>
  <c r="AR41" i="4" s="1"/>
  <c r="AT41" i="4" s="1"/>
  <c r="AA55" i="4"/>
  <c r="AC55" i="4" s="1"/>
  <c r="AD55" i="4" s="1"/>
  <c r="AK113" i="4"/>
  <c r="AA131" i="4"/>
  <c r="AC131" i="4" s="1"/>
  <c r="AD131" i="4" s="1"/>
  <c r="AR87" i="4"/>
  <c r="AT87" i="4" s="1"/>
  <c r="AR98" i="4"/>
  <c r="AT98" i="4" s="1"/>
  <c r="AR36" i="4"/>
  <c r="AT36" i="4" s="1"/>
  <c r="AR106" i="4"/>
  <c r="AT106" i="4" s="1"/>
  <c r="AO48" i="4"/>
  <c r="AG48" i="4"/>
  <c r="AI48" i="4" s="1"/>
  <c r="AG131" i="4"/>
  <c r="AI131" i="4" s="1"/>
  <c r="AO131" i="4"/>
  <c r="AG90" i="4"/>
  <c r="AI90" i="4" s="1"/>
  <c r="AO90" i="4"/>
  <c r="AJ31" i="4"/>
  <c r="AK31" i="4"/>
  <c r="AG117" i="4"/>
  <c r="AI117" i="4" s="1"/>
  <c r="AO117" i="4"/>
  <c r="AT7" i="5"/>
  <c r="AU7" i="5"/>
  <c r="AT83" i="5"/>
  <c r="AU83" i="5"/>
  <c r="AT146" i="5"/>
  <c r="AU146" i="5"/>
  <c r="AO57" i="4"/>
  <c r="AG57" i="4"/>
  <c r="AI57" i="4" s="1"/>
  <c r="AU500" i="5"/>
  <c r="AT500" i="5"/>
  <c r="AU294" i="5"/>
  <c r="AT294" i="5"/>
  <c r="AF73" i="4"/>
  <c r="AK73" i="4"/>
  <c r="AJ28" i="4"/>
  <c r="AK28" i="4"/>
  <c r="AJ36" i="4"/>
  <c r="AK36" i="4"/>
  <c r="AT109" i="5"/>
  <c r="AU109" i="5"/>
  <c r="AT337" i="5"/>
  <c r="AU337" i="5"/>
  <c r="AG104" i="4"/>
  <c r="AI104" i="4" s="1"/>
  <c r="AO104" i="4"/>
  <c r="AT434" i="5"/>
  <c r="AU434" i="5"/>
  <c r="AU424" i="5"/>
  <c r="AT424" i="5"/>
  <c r="AU171" i="5"/>
  <c r="AT171" i="5"/>
  <c r="AJ154" i="4"/>
  <c r="AK154" i="4"/>
  <c r="AT208" i="5"/>
  <c r="AU208" i="5"/>
  <c r="AU523" i="5"/>
  <c r="AT523" i="5"/>
  <c r="AU118" i="5"/>
  <c r="AT118" i="5"/>
  <c r="AU522" i="5"/>
  <c r="AT522" i="5"/>
  <c r="AG138" i="4"/>
  <c r="AI138" i="4" s="1"/>
  <c r="AO138" i="4"/>
  <c r="AT317" i="5"/>
  <c r="AU317" i="5"/>
  <c r="AJ115" i="4"/>
  <c r="AK115" i="4"/>
  <c r="AT461" i="5"/>
  <c r="AU461" i="5"/>
  <c r="AU159" i="5"/>
  <c r="AT159" i="5"/>
  <c r="AU303" i="5"/>
  <c r="AT303" i="5"/>
  <c r="AT520" i="5"/>
  <c r="AU520" i="5"/>
  <c r="AT347" i="5"/>
  <c r="AU347" i="5"/>
  <c r="AO33" i="4"/>
  <c r="AG33" i="4"/>
  <c r="AI33" i="4" s="1"/>
  <c r="AT101" i="5"/>
  <c r="AU101" i="5"/>
  <c r="AU495" i="5"/>
  <c r="AT495" i="5"/>
  <c r="AJ119" i="4"/>
  <c r="AK119" i="4"/>
  <c r="AT544" i="5"/>
  <c r="AU544" i="5"/>
  <c r="AT33" i="5"/>
  <c r="AU33" i="5"/>
  <c r="AU413" i="5"/>
  <c r="AT413" i="5"/>
  <c r="AU279" i="5"/>
  <c r="AT279" i="5"/>
  <c r="AJ32" i="4"/>
  <c r="AK32" i="4"/>
  <c r="AA16" i="4"/>
  <c r="AC16" i="4" s="1"/>
  <c r="AD16" i="4" s="1"/>
  <c r="AG51" i="4"/>
  <c r="AI51" i="4" s="1"/>
  <c r="AO51" i="4"/>
  <c r="AU135" i="5"/>
  <c r="AT135" i="5"/>
  <c r="AU251" i="5"/>
  <c r="AT251" i="5"/>
  <c r="AT180" i="5"/>
  <c r="AU180" i="5"/>
  <c r="AE13" i="5"/>
  <c r="AD13" i="5"/>
  <c r="AS13" i="5"/>
  <c r="AJ131" i="4"/>
  <c r="AK131" i="4"/>
  <c r="AO147" i="4"/>
  <c r="AG147" i="4"/>
  <c r="AI147" i="4" s="1"/>
  <c r="AO60" i="4"/>
  <c r="AG60" i="4"/>
  <c r="AI60" i="4" s="1"/>
  <c r="AU173" i="5"/>
  <c r="AT173" i="5"/>
  <c r="AR31" i="4"/>
  <c r="AT31" i="4" s="1"/>
  <c r="AJ78" i="4"/>
  <c r="AK78" i="4"/>
  <c r="AU183" i="5"/>
  <c r="AT183" i="5"/>
  <c r="AX182" i="5" s="1"/>
  <c r="AY182" i="5" s="1"/>
  <c r="AT392" i="5"/>
  <c r="AU392" i="5"/>
  <c r="AT464" i="5"/>
  <c r="AU464" i="5"/>
  <c r="AJ60" i="4"/>
  <c r="AK60" i="4"/>
  <c r="AJ139" i="4"/>
  <c r="AK139" i="4"/>
  <c r="AG121" i="4"/>
  <c r="AI121" i="4" s="1"/>
  <c r="AO121" i="4"/>
  <c r="AU100" i="5"/>
  <c r="AT100" i="5"/>
  <c r="AT160" i="5"/>
  <c r="AU160" i="5"/>
  <c r="AU167" i="5"/>
  <c r="AT167" i="5"/>
  <c r="AT286" i="5"/>
  <c r="AU286" i="5"/>
  <c r="AU362" i="5"/>
  <c r="AT362" i="5"/>
  <c r="AO107" i="4"/>
  <c r="AG107" i="4"/>
  <c r="AI107" i="4" s="1"/>
  <c r="AJ121" i="4"/>
  <c r="AK121" i="4"/>
  <c r="AJ53" i="4"/>
  <c r="AK53" i="4"/>
  <c r="AT479" i="5"/>
  <c r="AU479" i="5"/>
  <c r="AG153" i="4"/>
  <c r="AI153" i="4" s="1"/>
  <c r="AO153" i="4"/>
  <c r="AR112" i="4"/>
  <c r="AT112" i="4" s="1"/>
  <c r="AT376" i="5"/>
  <c r="AU376" i="5"/>
  <c r="AT454" i="5"/>
  <c r="AU454" i="5"/>
  <c r="AT34" i="5"/>
  <c r="AU34" i="5"/>
  <c r="AO80" i="4"/>
  <c r="AG80" i="4"/>
  <c r="AI80" i="4" s="1"/>
  <c r="AT187" i="5"/>
  <c r="AU187" i="5"/>
  <c r="AT223" i="5"/>
  <c r="AU223" i="5"/>
  <c r="AU449" i="5"/>
  <c r="AT449" i="5"/>
  <c r="AT181" i="5"/>
  <c r="AU181" i="5"/>
  <c r="AU481" i="5"/>
  <c r="AT481" i="5"/>
  <c r="AU136" i="5"/>
  <c r="AT136" i="5"/>
  <c r="AG13" i="4"/>
  <c r="AI13" i="4" s="1"/>
  <c r="AO13" i="4"/>
  <c r="AU258" i="5"/>
  <c r="AT258" i="5"/>
  <c r="AX257" i="5" s="1"/>
  <c r="AY257" i="5" s="1"/>
  <c r="AT397" i="5"/>
  <c r="AU397" i="5"/>
  <c r="AU252" i="5"/>
  <c r="AT252" i="5"/>
  <c r="AJ147" i="4"/>
  <c r="AK147" i="4"/>
  <c r="AU254" i="5"/>
  <c r="AT254" i="5"/>
  <c r="AU365" i="5"/>
  <c r="AT365" i="5"/>
  <c r="AU85" i="5"/>
  <c r="AT85" i="5"/>
  <c r="AU165" i="5"/>
  <c r="AT165" i="5"/>
  <c r="AG113" i="4"/>
  <c r="AI113" i="4" s="1"/>
  <c r="AO113" i="4"/>
  <c r="AT448" i="5"/>
  <c r="AU448" i="5"/>
  <c r="AT161" i="5"/>
  <c r="AU161" i="5"/>
  <c r="AJ110" i="4"/>
  <c r="AK110" i="4"/>
  <c r="AT331" i="5"/>
  <c r="AU331" i="5"/>
  <c r="AU395" i="5"/>
  <c r="AT395" i="5"/>
  <c r="AT282" i="5"/>
  <c r="AU282" i="5"/>
  <c r="AT192" i="5"/>
  <c r="AU192" i="5"/>
  <c r="AU456" i="5"/>
  <c r="AT456" i="5"/>
  <c r="AU329" i="5"/>
  <c r="AT329" i="5"/>
  <c r="AU515" i="5"/>
  <c r="AT515" i="5"/>
  <c r="AT43" i="5"/>
  <c r="AU43" i="5"/>
  <c r="AU538" i="5"/>
  <c r="AT538" i="5"/>
  <c r="AT521" i="5"/>
  <c r="AU521" i="5"/>
  <c r="AU408" i="5"/>
  <c r="AT408" i="5"/>
  <c r="AU274" i="5"/>
  <c r="AT274" i="5"/>
  <c r="AG129" i="4"/>
  <c r="AI129" i="4" s="1"/>
  <c r="AO129" i="4"/>
  <c r="AF91" i="4"/>
  <c r="AK91" i="4"/>
  <c r="AO88" i="4"/>
  <c r="AG88" i="4"/>
  <c r="AI88" i="4" s="1"/>
  <c r="AU142" i="5"/>
  <c r="AT142" i="5"/>
  <c r="AU333" i="5"/>
  <c r="AT333" i="5"/>
  <c r="AT221" i="5"/>
  <c r="AU221" i="5"/>
  <c r="AT170" i="5"/>
  <c r="AU170" i="5"/>
  <c r="AU460" i="5"/>
  <c r="AT460" i="5"/>
  <c r="AU253" i="5"/>
  <c r="AT253" i="5"/>
  <c r="AK88" i="4"/>
  <c r="AT298" i="5"/>
  <c r="AU298" i="5"/>
  <c r="AG99" i="4"/>
  <c r="AI99" i="4" s="1"/>
  <c r="AO99" i="4"/>
  <c r="AO124" i="4"/>
  <c r="AG124" i="4"/>
  <c r="AI124" i="4" s="1"/>
  <c r="AT554" i="5"/>
  <c r="AU554" i="5"/>
  <c r="AG145" i="4"/>
  <c r="AI145" i="4" s="1"/>
  <c r="AO145" i="4"/>
  <c r="AJ56" i="4"/>
  <c r="AK56" i="4"/>
  <c r="AT491" i="5"/>
  <c r="AU491" i="5"/>
  <c r="AJ149" i="4"/>
  <c r="AK149" i="4"/>
  <c r="AT537" i="5"/>
  <c r="AU537" i="5"/>
  <c r="AU348" i="5"/>
  <c r="AT348" i="5"/>
  <c r="AT485" i="5"/>
  <c r="AU485" i="5"/>
  <c r="AU87" i="5"/>
  <c r="AT87" i="5"/>
  <c r="AU432" i="5"/>
  <c r="AT432" i="5"/>
  <c r="AG56" i="4"/>
  <c r="AI56" i="4" s="1"/>
  <c r="AO56" i="4"/>
  <c r="AU467" i="5"/>
  <c r="AT467" i="5"/>
  <c r="AT269" i="5"/>
  <c r="AU269" i="5"/>
  <c r="AR53" i="4"/>
  <c r="AT53" i="4" s="1"/>
  <c r="AJ156" i="4"/>
  <c r="AK156" i="4"/>
  <c r="AU121" i="5"/>
  <c r="AT121" i="5"/>
  <c r="AU288" i="5"/>
  <c r="AT288" i="5"/>
  <c r="AU203" i="5"/>
  <c r="AT203" i="5"/>
  <c r="AU488" i="5"/>
  <c r="AT488" i="5"/>
  <c r="AU429" i="5"/>
  <c r="AT429" i="5"/>
  <c r="AU260" i="5"/>
  <c r="AT260" i="5"/>
  <c r="AT290" i="5"/>
  <c r="AU290" i="5"/>
  <c r="AT37" i="5"/>
  <c r="AU37" i="5"/>
  <c r="AJ106" i="4"/>
  <c r="AK106" i="4"/>
  <c r="AU40" i="5"/>
  <c r="AT40" i="5"/>
  <c r="AU144" i="5"/>
  <c r="AT144" i="5"/>
  <c r="AA11" i="4"/>
  <c r="AC11" i="4" s="1"/>
  <c r="AD11" i="4" s="1"/>
  <c r="AT557" i="5"/>
  <c r="AU557" i="5"/>
  <c r="AU482" i="5"/>
  <c r="AT482" i="5"/>
  <c r="AT176" i="5"/>
  <c r="AX175" i="5" s="1"/>
  <c r="AY175" i="5" s="1"/>
  <c r="AU176" i="5"/>
  <c r="AU311" i="5"/>
  <c r="AT311" i="5"/>
  <c r="AT149" i="5"/>
  <c r="AU149" i="5"/>
  <c r="AJ33" i="4"/>
  <c r="AK33" i="4"/>
  <c r="AU471" i="5"/>
  <c r="AT471" i="5"/>
  <c r="AG146" i="4"/>
  <c r="AI146" i="4" s="1"/>
  <c r="AO146" i="4"/>
  <c r="AU341" i="5"/>
  <c r="AT341" i="5"/>
  <c r="AO42" i="4"/>
  <c r="AG42" i="4"/>
  <c r="AI42" i="4" s="1"/>
  <c r="AU338" i="5"/>
  <c r="AT338" i="5"/>
  <c r="AU379" i="5"/>
  <c r="AT379" i="5"/>
  <c r="AU498" i="5"/>
  <c r="AT498" i="5"/>
  <c r="AU417" i="5"/>
  <c r="AT417" i="5"/>
  <c r="AG28" i="4"/>
  <c r="AI28" i="4" s="1"/>
  <c r="AO28" i="4"/>
  <c r="AT525" i="5"/>
  <c r="AU525" i="5"/>
  <c r="AT275" i="5"/>
  <c r="AU275" i="5"/>
  <c r="AU422" i="5"/>
  <c r="AT422" i="5"/>
  <c r="AT343" i="5"/>
  <c r="AU343" i="5"/>
  <c r="AU280" i="5"/>
  <c r="AT280" i="5"/>
  <c r="AU319" i="5"/>
  <c r="AT319" i="5"/>
  <c r="AT74" i="5"/>
  <c r="AU74" i="5"/>
  <c r="AT465" i="5"/>
  <c r="AU465" i="5"/>
  <c r="AG29" i="4"/>
  <c r="AI29" i="4" s="1"/>
  <c r="AO29" i="4"/>
  <c r="AU427" i="5"/>
  <c r="AT427" i="5"/>
  <c r="AU268" i="5"/>
  <c r="AT268" i="5"/>
  <c r="AT304" i="5"/>
  <c r="AU304" i="5"/>
  <c r="AU386" i="5"/>
  <c r="AT386" i="5"/>
  <c r="AJ48" i="4"/>
  <c r="AK48" i="4"/>
  <c r="AT459" i="5"/>
  <c r="AU459" i="5"/>
  <c r="AG154" i="4"/>
  <c r="AI154" i="4" s="1"/>
  <c r="AO154" i="4"/>
  <c r="AT70" i="5"/>
  <c r="AU70" i="5"/>
  <c r="AT339" i="5"/>
  <c r="AU339" i="5"/>
  <c r="AU342" i="5"/>
  <c r="AT342" i="5"/>
  <c r="AU256" i="5"/>
  <c r="AT256" i="5"/>
  <c r="AG15" i="4"/>
  <c r="AI15" i="4" s="1"/>
  <c r="AO15" i="4"/>
  <c r="AK11" i="4"/>
  <c r="AT296" i="5"/>
  <c r="AU296" i="5"/>
  <c r="AU489" i="5"/>
  <c r="AT489" i="5"/>
  <c r="AU232" i="5"/>
  <c r="AT232" i="5"/>
  <c r="AU262" i="5"/>
  <c r="AT262" i="5"/>
  <c r="AU499" i="5"/>
  <c r="AT499" i="5"/>
  <c r="AJ90" i="4"/>
  <c r="AK90" i="4"/>
  <c r="AJ112" i="4"/>
  <c r="AK112" i="4"/>
  <c r="AU216" i="5"/>
  <c r="AT216" i="5"/>
  <c r="AU130" i="5"/>
  <c r="AT130" i="5"/>
  <c r="AO115" i="4"/>
  <c r="AG115" i="4"/>
  <c r="AI115" i="4" s="1"/>
  <c r="AT69" i="5"/>
  <c r="AU69" i="5"/>
  <c r="AU189" i="5"/>
  <c r="AT189" i="5"/>
  <c r="AJ43" i="4"/>
  <c r="AK43" i="4"/>
  <c r="AG92" i="4"/>
  <c r="AI92" i="4" s="1"/>
  <c r="AO92" i="4"/>
  <c r="AG119" i="4"/>
  <c r="AI119" i="4" s="1"/>
  <c r="AO119" i="4"/>
  <c r="AG65" i="4"/>
  <c r="AI65" i="4" s="1"/>
  <c r="AO65" i="4"/>
  <c r="AG110" i="4"/>
  <c r="AI110" i="4" s="1"/>
  <c r="AO110" i="4"/>
  <c r="AJ50" i="4"/>
  <c r="AK50" i="4"/>
  <c r="AJ87" i="4"/>
  <c r="AK87" i="4"/>
  <c r="AU433" i="5"/>
  <c r="AT433" i="5"/>
  <c r="AJ29" i="4"/>
  <c r="AK29" i="4"/>
  <c r="AT356" i="5"/>
  <c r="AU356" i="5"/>
  <c r="AU123" i="5"/>
  <c r="AT123" i="5"/>
  <c r="AT506" i="5"/>
  <c r="AU506" i="5"/>
  <c r="AO55" i="4"/>
  <c r="AG55" i="4"/>
  <c r="AI55" i="4" s="1"/>
  <c r="AU373" i="5"/>
  <c r="AT373" i="5"/>
  <c r="AJ42" i="4"/>
  <c r="AK42" i="4"/>
  <c r="AU215" i="5"/>
  <c r="AT215" i="5"/>
  <c r="AT484" i="5"/>
  <c r="AU484" i="5"/>
  <c r="AT332" i="5"/>
  <c r="AU332" i="5"/>
  <c r="AU151" i="5"/>
  <c r="AT151" i="5"/>
  <c r="AT436" i="5"/>
  <c r="AU436" i="5"/>
  <c r="AU371" i="5"/>
  <c r="AT371" i="5"/>
  <c r="AU399" i="5"/>
  <c r="AT399" i="5"/>
  <c r="AJ49" i="4"/>
  <c r="AK49" i="4"/>
  <c r="AT553" i="5"/>
  <c r="AU553" i="5"/>
  <c r="AT63" i="5"/>
  <c r="AU63" i="5"/>
  <c r="AT450" i="5"/>
  <c r="AU450" i="5"/>
  <c r="AU524" i="5"/>
  <c r="AT524" i="5"/>
  <c r="AR78" i="4"/>
  <c r="AT78" i="4" s="1"/>
  <c r="AG11" i="4"/>
  <c r="AI11" i="4" s="1"/>
  <c r="AO11" i="4"/>
  <c r="AT536" i="5"/>
  <c r="AU536" i="5"/>
  <c r="AU91" i="5"/>
  <c r="AT91" i="5"/>
  <c r="AU380" i="5"/>
  <c r="AT380" i="5"/>
  <c r="AU324" i="5"/>
  <c r="AT324" i="5"/>
  <c r="AT237" i="5"/>
  <c r="AU237" i="5"/>
  <c r="AU80" i="5"/>
  <c r="AT80" i="5"/>
  <c r="AQ13" i="5"/>
  <c r="AR13" i="5"/>
  <c r="AU59" i="5"/>
  <c r="AT59" i="5"/>
  <c r="AJ107" i="4"/>
  <c r="AK107" i="4"/>
  <c r="AT261" i="5"/>
  <c r="AU261" i="5"/>
  <c r="AU125" i="5"/>
  <c r="AT125" i="5"/>
  <c r="AU305" i="5"/>
  <c r="AT305" i="5"/>
  <c r="AG122" i="4"/>
  <c r="AI122" i="4" s="1"/>
  <c r="AO122" i="4"/>
  <c r="AT117" i="5"/>
  <c r="AU117" i="5"/>
  <c r="AT543" i="5"/>
  <c r="AU543" i="5"/>
  <c r="AU38" i="5"/>
  <c r="AT38" i="5"/>
  <c r="AG50" i="4"/>
  <c r="AI50" i="4" s="1"/>
  <c r="AO50" i="4"/>
  <c r="AU241" i="5"/>
  <c r="AT241" i="5"/>
  <c r="AU312" i="5"/>
  <c r="AT312" i="5"/>
  <c r="AT284" i="5"/>
  <c r="AU284" i="5"/>
  <c r="AU381" i="5"/>
  <c r="AT381" i="5"/>
  <c r="AU212" i="5"/>
  <c r="AT212" i="5"/>
  <c r="AT512" i="5"/>
  <c r="AU512" i="5"/>
  <c r="AT445" i="5"/>
  <c r="AU445" i="5"/>
  <c r="AT112" i="5"/>
  <c r="AU112" i="5"/>
  <c r="AU370" i="5"/>
  <c r="AT370" i="5"/>
  <c r="AU133" i="5"/>
  <c r="AT133" i="5"/>
  <c r="AG156" i="4"/>
  <c r="AI156" i="4" s="1"/>
  <c r="AO156" i="4"/>
  <c r="AT266" i="5"/>
  <c r="AU266" i="5"/>
  <c r="AO16" i="4"/>
  <c r="AG16" i="4"/>
  <c r="AI16" i="4" s="1"/>
  <c r="AA7" i="4" l="1"/>
  <c r="AC7" i="4" s="1"/>
  <c r="AD7" i="4" s="1"/>
  <c r="AU206" i="5"/>
  <c r="AT546" i="5"/>
  <c r="AJ88" i="4"/>
  <c r="AK7" i="4"/>
  <c r="AK146" i="4"/>
  <c r="AJ146" i="4"/>
  <c r="AT234" i="5"/>
  <c r="AT264" i="5"/>
  <c r="AX264" i="5" s="1"/>
  <c r="AY264" i="5" s="1"/>
  <c r="AK102" i="4"/>
  <c r="AU426" i="5"/>
  <c r="AT508" i="5"/>
  <c r="AX507" i="5" s="1"/>
  <c r="AY507" i="5" s="1"/>
  <c r="AU446" i="5"/>
  <c r="AU49" i="5"/>
  <c r="AU200" i="5"/>
  <c r="AU26" i="5"/>
  <c r="AA145" i="4"/>
  <c r="AC145" i="4" s="1"/>
  <c r="AD145" i="4" s="1"/>
  <c r="AR145" i="4" s="1"/>
  <c r="AT145" i="4" s="1"/>
  <c r="AU345" i="5"/>
  <c r="AT483" i="5"/>
  <c r="AX483" i="5" s="1"/>
  <c r="AY483" i="5" s="1"/>
  <c r="AK145" i="4"/>
  <c r="AX23" i="5"/>
  <c r="AY23" i="5" s="1"/>
  <c r="AU23" i="5"/>
  <c r="AK66" i="4"/>
  <c r="AF37" i="4"/>
  <c r="AG37" i="4" s="1"/>
  <c r="AI37" i="4" s="1"/>
  <c r="AU289" i="5"/>
  <c r="AX97" i="5"/>
  <c r="AY97" i="5" s="1"/>
  <c r="AK37" i="4"/>
  <c r="AT530" i="5"/>
  <c r="AX184" i="5"/>
  <c r="AY184" i="5" s="1"/>
  <c r="AU534" i="5"/>
  <c r="AT105" i="5"/>
  <c r="AX105" i="5" s="1"/>
  <c r="AY105" i="5" s="1"/>
  <c r="AT463" i="5"/>
  <c r="AX463" i="5" s="1"/>
  <c r="AY463" i="5" s="1"/>
  <c r="AU265" i="5"/>
  <c r="AU97" i="5"/>
  <c r="AT243" i="5"/>
  <c r="AU226" i="5"/>
  <c r="AT213" i="5"/>
  <c r="AX212" i="5" s="1"/>
  <c r="AY212" i="5" s="1"/>
  <c r="AU532" i="5"/>
  <c r="AT540" i="5"/>
  <c r="AX539" i="5" s="1"/>
  <c r="AY539" i="5" s="1"/>
  <c r="AT470" i="5"/>
  <c r="AX470" i="5" s="1"/>
  <c r="AY470" i="5" s="1"/>
  <c r="AT469" i="5"/>
  <c r="AU509" i="5"/>
  <c r="AU184" i="5"/>
  <c r="AA46" i="4"/>
  <c r="AC46" i="4" s="1"/>
  <c r="AD46" i="4" s="1"/>
  <c r="AR46" i="4" s="1"/>
  <c r="AT46" i="4" s="1"/>
  <c r="AJ46" i="4"/>
  <c r="AU359" i="5"/>
  <c r="AA20" i="4"/>
  <c r="AC20" i="4" s="1"/>
  <c r="AD20" i="4" s="1"/>
  <c r="AG66" i="4"/>
  <c r="AI66" i="4" s="1"/>
  <c r="AR66" i="4" s="1"/>
  <c r="AT66" i="4" s="1"/>
  <c r="AK20" i="4"/>
  <c r="AU327" i="5"/>
  <c r="AU297" i="5"/>
  <c r="AT466" i="5"/>
  <c r="AX466" i="5" s="1"/>
  <c r="AY466" i="5" s="1"/>
  <c r="AU188" i="5"/>
  <c r="AU166" i="5"/>
  <c r="AU477" i="5"/>
  <c r="AT518" i="5"/>
  <c r="AX517" i="5" s="1"/>
  <c r="AY517" i="5" s="1"/>
  <c r="AU514" i="5"/>
  <c r="AU22" i="5"/>
  <c r="AU511" i="5"/>
  <c r="AR43" i="4"/>
  <c r="AT43" i="4" s="1"/>
  <c r="AU62" i="5"/>
  <c r="AX49" i="5"/>
  <c r="AY49" i="5" s="1"/>
  <c r="AR18" i="4"/>
  <c r="AT18" i="4" s="1"/>
  <c r="AU349" i="5"/>
  <c r="AA14" i="4"/>
  <c r="AC14" i="4" s="1"/>
  <c r="AD14" i="4" s="1"/>
  <c r="AR149" i="4"/>
  <c r="AT149" i="4" s="1"/>
  <c r="AK14" i="4"/>
  <c r="AU148" i="5"/>
  <c r="AU137" i="5"/>
  <c r="AT201" i="5"/>
  <c r="AX201" i="5" s="1"/>
  <c r="AY201" i="5" s="1"/>
  <c r="AA61" i="4"/>
  <c r="AC61" i="4" s="1"/>
  <c r="AD61" i="4" s="1"/>
  <c r="AR61" i="4" s="1"/>
  <c r="AT61" i="4" s="1"/>
  <c r="AT42" i="5"/>
  <c r="AX42" i="5" s="1"/>
  <c r="AY42" i="5" s="1"/>
  <c r="AU351" i="5"/>
  <c r="AU21" i="5"/>
  <c r="AX21" i="5"/>
  <c r="AY21" i="5" s="1"/>
  <c r="AK61" i="4"/>
  <c r="AT214" i="5"/>
  <c r="AX214" i="5" s="1"/>
  <c r="AY214" i="5" s="1"/>
  <c r="AT267" i="5"/>
  <c r="AX267" i="5" s="1"/>
  <c r="AY267" i="5" s="1"/>
  <c r="AT186" i="5"/>
  <c r="AX186" i="5" s="1"/>
  <c r="AY186" i="5" s="1"/>
  <c r="AT301" i="5"/>
  <c r="AX300" i="5" s="1"/>
  <c r="AY300" i="5" s="1"/>
  <c r="AU300" i="5"/>
  <c r="AT313" i="5"/>
  <c r="AX313" i="5" s="1"/>
  <c r="AY313" i="5" s="1"/>
  <c r="AU382" i="5"/>
  <c r="AX148" i="5"/>
  <c r="AY148" i="5" s="1"/>
  <c r="AT451" i="5"/>
  <c r="AX450" i="5" s="1"/>
  <c r="AY450" i="5" s="1"/>
  <c r="AT486" i="5"/>
  <c r="AX485" i="5" s="1"/>
  <c r="AY485" i="5" s="1"/>
  <c r="AA57" i="4"/>
  <c r="AC57" i="4" s="1"/>
  <c r="AD57" i="4" s="1"/>
  <c r="AR57" i="4" s="1"/>
  <c r="AT57" i="4" s="1"/>
  <c r="AF22" i="4"/>
  <c r="AO22" i="4" s="1"/>
  <c r="AA142" i="4"/>
  <c r="AC142" i="4" s="1"/>
  <c r="AD142" i="4" s="1"/>
  <c r="AX147" i="5"/>
  <c r="AY147" i="5" s="1"/>
  <c r="AT248" i="5"/>
  <c r="AX247" i="5" s="1"/>
  <c r="AY247" i="5" s="1"/>
  <c r="AU205" i="5"/>
  <c r="AT478" i="5"/>
  <c r="AX477" i="5" s="1"/>
  <c r="AY477" i="5" s="1"/>
  <c r="AK15" i="4"/>
  <c r="AU31" i="5"/>
  <c r="AU283" i="5"/>
  <c r="AO142" i="4"/>
  <c r="AT390" i="5"/>
  <c r="AX389" i="5" s="1"/>
  <c r="AY389" i="5" s="1"/>
  <c r="AK57" i="4"/>
  <c r="AA15" i="4"/>
  <c r="AC15" i="4" s="1"/>
  <c r="AD15" i="4" s="1"/>
  <c r="AR15" i="4" s="1"/>
  <c r="AT15" i="4" s="1"/>
  <c r="AT316" i="5"/>
  <c r="AX316" i="5" s="1"/>
  <c r="AY316" i="5" s="1"/>
  <c r="AK142" i="4"/>
  <c r="AT444" i="5"/>
  <c r="AX444" i="5" s="1"/>
  <c r="AY444" i="5" s="1"/>
  <c r="AT58" i="5"/>
  <c r="AX58" i="5" s="1"/>
  <c r="AY58" i="5" s="1"/>
  <c r="AT374" i="5"/>
  <c r="AX373" i="5" s="1"/>
  <c r="AY373" i="5" s="1"/>
  <c r="AT455" i="5"/>
  <c r="AX454" i="5" s="1"/>
  <c r="AY454" i="5" s="1"/>
  <c r="AT360" i="5"/>
  <c r="AT308" i="5"/>
  <c r="AX308" i="5" s="1"/>
  <c r="AY308" i="5" s="1"/>
  <c r="AT361" i="5"/>
  <c r="AX361" i="5" s="1"/>
  <c r="AY361" i="5" s="1"/>
  <c r="AX278" i="5"/>
  <c r="AY278" i="5" s="1"/>
  <c r="AX62" i="5"/>
  <c r="AY62" i="5" s="1"/>
  <c r="AU400" i="5"/>
  <c r="AU32" i="5"/>
  <c r="AT48" i="5"/>
  <c r="AX48" i="5" s="1"/>
  <c r="AY48" i="5" s="1"/>
  <c r="AU363" i="5"/>
  <c r="AU138" i="5"/>
  <c r="AT306" i="5"/>
  <c r="AX306" i="5" s="1"/>
  <c r="AY306" i="5" s="1"/>
  <c r="AU245" i="5"/>
  <c r="AT145" i="5"/>
  <c r="AX144" i="5" s="1"/>
  <c r="AY144" i="5" s="1"/>
  <c r="AU421" i="5"/>
  <c r="AX20" i="5"/>
  <c r="AY20" i="5" s="1"/>
  <c r="AT113" i="5"/>
  <c r="AX113" i="5" s="1"/>
  <c r="AY113" i="5" s="1"/>
  <c r="AU552" i="5"/>
  <c r="AU55" i="5"/>
  <c r="AT222" i="5"/>
  <c r="AX222" i="5" s="1"/>
  <c r="AY222" i="5" s="1"/>
  <c r="AT366" i="5"/>
  <c r="AX365" i="5" s="1"/>
  <c r="AY365" i="5" s="1"/>
  <c r="AT36" i="5"/>
  <c r="AX35" i="5" s="1"/>
  <c r="AY35" i="5" s="1"/>
  <c r="AX116" i="5"/>
  <c r="AY116" i="5" s="1"/>
  <c r="AU309" i="5"/>
  <c r="AU336" i="5"/>
  <c r="AU416" i="5"/>
  <c r="AT140" i="5"/>
  <c r="AX139" i="5" s="1"/>
  <c r="AY139" i="5" s="1"/>
  <c r="AT295" i="5"/>
  <c r="AX294" i="5" s="1"/>
  <c r="AY294" i="5" s="1"/>
  <c r="AT302" i="5"/>
  <c r="AX302" i="5" s="1"/>
  <c r="AY302" i="5" s="1"/>
  <c r="AT90" i="5"/>
  <c r="AX90" i="5" s="1"/>
  <c r="AY90" i="5" s="1"/>
  <c r="AU353" i="5"/>
  <c r="AT178" i="5"/>
  <c r="AX177" i="5" s="1"/>
  <c r="AY177" i="5" s="1"/>
  <c r="AT378" i="5"/>
  <c r="AX378" i="5" s="1"/>
  <c r="AY378" i="5" s="1"/>
  <c r="AT475" i="5"/>
  <c r="AX475" i="5" s="1"/>
  <c r="AY475" i="5" s="1"/>
  <c r="AT462" i="5"/>
  <c r="AU517" i="5"/>
  <c r="AT344" i="5"/>
  <c r="AX343" i="5" s="1"/>
  <c r="AY343" i="5" s="1"/>
  <c r="AT94" i="5"/>
  <c r="AX94" i="5" s="1"/>
  <c r="AY94" i="5" s="1"/>
  <c r="AA135" i="4"/>
  <c r="AC135" i="4" s="1"/>
  <c r="AD135" i="4" s="1"/>
  <c r="AA125" i="4"/>
  <c r="AC125" i="4" s="1"/>
  <c r="AD125" i="4" s="1"/>
  <c r="AT158" i="5"/>
  <c r="AX158" i="5" s="1"/>
  <c r="AY158" i="5" s="1"/>
  <c r="AK125" i="4"/>
  <c r="AT259" i="5"/>
  <c r="AX258" i="5" s="1"/>
  <c r="AY258" i="5" s="1"/>
  <c r="AU438" i="5"/>
  <c r="AT119" i="5"/>
  <c r="AX118" i="5" s="1"/>
  <c r="AY118" i="5" s="1"/>
  <c r="AU394" i="5"/>
  <c r="AT155" i="5"/>
  <c r="AU504" i="5"/>
  <c r="AU193" i="5"/>
  <c r="AU270" i="5"/>
  <c r="AX46" i="5"/>
  <c r="AY46" i="5" s="1"/>
  <c r="AU385" i="5"/>
  <c r="AT194" i="5"/>
  <c r="AX193" i="5" s="1"/>
  <c r="AY193" i="5" s="1"/>
  <c r="AA39" i="4"/>
  <c r="AC39" i="4" s="1"/>
  <c r="AD39" i="4" s="1"/>
  <c r="AT428" i="5"/>
  <c r="AX427" i="5" s="1"/>
  <c r="AY427" i="5" s="1"/>
  <c r="AT556" i="5"/>
  <c r="AX556" i="5" s="1"/>
  <c r="AY556" i="5" s="1"/>
  <c r="AT494" i="5"/>
  <c r="AX494" i="5" s="1"/>
  <c r="AY494" i="5" s="1"/>
  <c r="AT76" i="5"/>
  <c r="AX76" i="5" s="1"/>
  <c r="AY76" i="5" s="1"/>
  <c r="AK39" i="4"/>
  <c r="AU502" i="5"/>
  <c r="AT404" i="5"/>
  <c r="AU541" i="5"/>
  <c r="AU46" i="5"/>
  <c r="AT244" i="5"/>
  <c r="AT383" i="5"/>
  <c r="AX382" i="5" s="1"/>
  <c r="AY382" i="5" s="1"/>
  <c r="AU440" i="5"/>
  <c r="AX53" i="5"/>
  <c r="AY53" i="5" s="1"/>
  <c r="AX54" i="5"/>
  <c r="AY54" i="5" s="1"/>
  <c r="AU425" i="5"/>
  <c r="AU126" i="5"/>
  <c r="AU106" i="5"/>
  <c r="AT174" i="5"/>
  <c r="AX173" i="5" s="1"/>
  <c r="AY173" i="5" s="1"/>
  <c r="AT335" i="5"/>
  <c r="AX335" i="5" s="1"/>
  <c r="AY335" i="5" s="1"/>
  <c r="AT111" i="5"/>
  <c r="AX111" i="5" s="1"/>
  <c r="AY111" i="5" s="1"/>
  <c r="AT277" i="5"/>
  <c r="AX277" i="5" s="1"/>
  <c r="AY277" i="5" s="1"/>
  <c r="AT325" i="5"/>
  <c r="AX324" i="5" s="1"/>
  <c r="AY324" i="5" s="1"/>
  <c r="AT67" i="5"/>
  <c r="AX67" i="5" s="1"/>
  <c r="AY67" i="5" s="1"/>
  <c r="AT210" i="5"/>
  <c r="AX209" i="5" s="1"/>
  <c r="AY209" i="5" s="1"/>
  <c r="AT310" i="5"/>
  <c r="AX309" i="5" s="1"/>
  <c r="AY309" i="5" s="1"/>
  <c r="AT555" i="5"/>
  <c r="AX122" i="5"/>
  <c r="AY122" i="5" s="1"/>
  <c r="AU50" i="5"/>
  <c r="AT402" i="5"/>
  <c r="AT551" i="5"/>
  <c r="AX551" i="5" s="1"/>
  <c r="AY551" i="5" s="1"/>
  <c r="AX80" i="5"/>
  <c r="AY80" i="5" s="1"/>
  <c r="AT318" i="5"/>
  <c r="AX318" i="5" s="1"/>
  <c r="AY318" i="5" s="1"/>
  <c r="AT12" i="5"/>
  <c r="AU476" i="5"/>
  <c r="AU122" i="5"/>
  <c r="AT354" i="5"/>
  <c r="AX353" i="5" s="1"/>
  <c r="AY353" i="5" s="1"/>
  <c r="AT60" i="5"/>
  <c r="AX59" i="5" s="1"/>
  <c r="AY59" i="5" s="1"/>
  <c r="AT452" i="5"/>
  <c r="AX451" i="5" s="1"/>
  <c r="AY451" i="5" s="1"/>
  <c r="AT120" i="5"/>
  <c r="AX120" i="5" s="1"/>
  <c r="AY120" i="5" s="1"/>
  <c r="AU116" i="5"/>
  <c r="AT104" i="5"/>
  <c r="AX103" i="5" s="1"/>
  <c r="AY103" i="5" s="1"/>
  <c r="AT150" i="5"/>
  <c r="AX150" i="5" s="1"/>
  <c r="AY150" i="5" s="1"/>
  <c r="AU533" i="5"/>
  <c r="AU369" i="5"/>
  <c r="AT403" i="5"/>
  <c r="AU163" i="5"/>
  <c r="AK22" i="4"/>
  <c r="AT217" i="5"/>
  <c r="AX216" i="5" s="1"/>
  <c r="AY216" i="5" s="1"/>
  <c r="AX240" i="5"/>
  <c r="AY240" i="5" s="1"/>
  <c r="AU25" i="5"/>
  <c r="AU453" i="5"/>
  <c r="AU198" i="5"/>
  <c r="AU384" i="5"/>
  <c r="AT231" i="5"/>
  <c r="AX231" i="5" s="1"/>
  <c r="AY231" i="5" s="1"/>
  <c r="AU505" i="5"/>
  <c r="AU77" i="5"/>
  <c r="AU350" i="5"/>
  <c r="AT263" i="5"/>
  <c r="AX262" i="5" s="1"/>
  <c r="AY262" i="5" s="1"/>
  <c r="AT239" i="5"/>
  <c r="AX239" i="5" s="1"/>
  <c r="AY239" i="5" s="1"/>
  <c r="AO125" i="4"/>
  <c r="AT411" i="5"/>
  <c r="AX411" i="5" s="1"/>
  <c r="AY411" i="5" s="1"/>
  <c r="AU398" i="5"/>
  <c r="AK135" i="4"/>
  <c r="AT110" i="5"/>
  <c r="AX109" i="5" s="1"/>
  <c r="AY109" i="5" s="1"/>
  <c r="AX73" i="5"/>
  <c r="AY73" i="5" s="1"/>
  <c r="AU420" i="5"/>
  <c r="AU285" i="5"/>
  <c r="AT501" i="5"/>
  <c r="AX500" i="5" s="1"/>
  <c r="AY500" i="5" s="1"/>
  <c r="AU114" i="5"/>
  <c r="AU44" i="5"/>
  <c r="AU73" i="5"/>
  <c r="AT220" i="5"/>
  <c r="AX219" i="5" s="1"/>
  <c r="AT82" i="5"/>
  <c r="AX81" i="5" s="1"/>
  <c r="AY81" i="5" s="1"/>
  <c r="AU406" i="5"/>
  <c r="AU24" i="5"/>
  <c r="AU548" i="5"/>
  <c r="AT236" i="5"/>
  <c r="AX236" i="5" s="1"/>
  <c r="AY236" i="5" s="1"/>
  <c r="AU128" i="5"/>
  <c r="AU468" i="5"/>
  <c r="AU387" i="5"/>
  <c r="AX143" i="5"/>
  <c r="AY143" i="5" s="1"/>
  <c r="AU115" i="5"/>
  <c r="AX202" i="5"/>
  <c r="AY202" i="5" s="1"/>
  <c r="AU437" i="5"/>
  <c r="AT513" i="5"/>
  <c r="AX512" i="5" s="1"/>
  <c r="AY512" i="5" s="1"/>
  <c r="AT377" i="5"/>
  <c r="AX376" i="5" s="1"/>
  <c r="AY376" i="5" s="1"/>
  <c r="AX127" i="5"/>
  <c r="AY127" i="5" s="1"/>
  <c r="AT441" i="5"/>
  <c r="AX440" i="5" s="1"/>
  <c r="AY440" i="5" s="1"/>
  <c r="AT492" i="5"/>
  <c r="AX491" i="5" s="1"/>
  <c r="AY491" i="5" s="1"/>
  <c r="AT168" i="5"/>
  <c r="AX168" i="5" s="1"/>
  <c r="AY168" i="5" s="1"/>
  <c r="AU19" i="5"/>
  <c r="AT410" i="5"/>
  <c r="AU375" i="5"/>
  <c r="AT558" i="5"/>
  <c r="AX557" i="5" s="1"/>
  <c r="AY557" i="5" s="1"/>
  <c r="AU204" i="5"/>
  <c r="AU314" i="5"/>
  <c r="AU240" i="5"/>
  <c r="AT228" i="5"/>
  <c r="AT229" i="5"/>
  <c r="AX229" i="5" s="1"/>
  <c r="AY229" i="5" s="1"/>
  <c r="AU320" i="5"/>
  <c r="AU560" i="5"/>
  <c r="AU153" i="5"/>
  <c r="AT99" i="5"/>
  <c r="AX99" i="5" s="1"/>
  <c r="AY99" i="5" s="1"/>
  <c r="AT157" i="5"/>
  <c r="AT238" i="5"/>
  <c r="AT405" i="5"/>
  <c r="AU108" i="5"/>
  <c r="AU143" i="5"/>
  <c r="AT134" i="5"/>
  <c r="AX134" i="5" s="1"/>
  <c r="AY134" i="5" s="1"/>
  <c r="AR68" i="4"/>
  <c r="AT68" i="4" s="1"/>
  <c r="AU218" i="5"/>
  <c r="AT496" i="5"/>
  <c r="AX495" i="5" s="1"/>
  <c r="AY495" i="5" s="1"/>
  <c r="AT27" i="5"/>
  <c r="AX26" i="5" s="1"/>
  <c r="AY26" i="5" s="1"/>
  <c r="AX72" i="5"/>
  <c r="AY72" i="5" s="1"/>
  <c r="AU293" i="5"/>
  <c r="AU472" i="5"/>
  <c r="AX19" i="5"/>
  <c r="AY19" i="5" s="1"/>
  <c r="AT132" i="5"/>
  <c r="AX132" i="5" s="1"/>
  <c r="AY132" i="5" s="1"/>
  <c r="F69" i="1"/>
  <c r="AT473" i="5"/>
  <c r="AX472" i="5" s="1"/>
  <c r="AY472" i="5" s="1"/>
  <c r="AU68" i="5"/>
  <c r="AT197" i="5"/>
  <c r="AX197" i="5" s="1"/>
  <c r="AY197" i="5" s="1"/>
  <c r="AT179" i="5"/>
  <c r="AX179" i="5" s="1"/>
  <c r="AY179" i="5" s="1"/>
  <c r="AX198" i="5"/>
  <c r="AY198" i="5" s="1"/>
  <c r="AX218" i="5"/>
  <c r="AY218" i="5" s="1"/>
  <c r="AT388" i="5"/>
  <c r="AX388" i="5" s="1"/>
  <c r="AY388" i="5" s="1"/>
  <c r="AT75" i="5"/>
  <c r="AX68" i="5"/>
  <c r="AY68" i="5" s="1"/>
  <c r="AU209" i="5"/>
  <c r="AT66" i="5"/>
  <c r="AX254" i="5"/>
  <c r="AY254" i="5" s="1"/>
  <c r="AX255" i="5"/>
  <c r="AT141" i="5"/>
  <c r="AX141" i="5" s="1"/>
  <c r="AY141" i="5" s="1"/>
  <c r="AU447" i="5"/>
  <c r="AU29" i="5"/>
  <c r="AU95" i="5"/>
  <c r="AA12" i="4"/>
  <c r="AC12" i="4" s="1"/>
  <c r="AD12" i="4" s="1"/>
  <c r="AU255" i="5"/>
  <c r="AT401" i="5"/>
  <c r="AU93" i="5"/>
  <c r="AT65" i="5"/>
  <c r="AT529" i="5"/>
  <c r="AU53" i="5"/>
  <c r="AT528" i="5"/>
  <c r="AU35" i="5"/>
  <c r="AU45" i="5"/>
  <c r="AU199" i="5"/>
  <c r="AU414" i="5"/>
  <c r="AU103" i="5"/>
  <c r="AX128" i="5"/>
  <c r="AY128" i="5" s="1"/>
  <c r="AX102" i="5"/>
  <c r="AY102" i="5" s="1"/>
  <c r="AT291" i="5"/>
  <c r="AX290" i="5" s="1"/>
  <c r="AY290" i="5" s="1"/>
  <c r="AX71" i="5"/>
  <c r="AY71" i="5" s="1"/>
  <c r="AX101" i="5"/>
  <c r="AY101" i="5" s="1"/>
  <c r="AT321" i="5"/>
  <c r="AX321" i="5" s="1"/>
  <c r="AY321" i="5" s="1"/>
  <c r="AU480" i="5"/>
  <c r="AU20" i="5"/>
  <c r="AU102" i="5"/>
  <c r="AX208" i="5"/>
  <c r="AY208" i="5" s="1"/>
  <c r="AT559" i="5"/>
  <c r="AX559" i="5" s="1"/>
  <c r="AY559" i="5" s="1"/>
  <c r="AX129" i="5"/>
  <c r="AY129" i="5" s="1"/>
  <c r="AU219" i="5"/>
  <c r="AU247" i="5"/>
  <c r="AU129" i="5"/>
  <c r="AT323" i="5"/>
  <c r="AX323" i="5" s="1"/>
  <c r="AY323" i="5" s="1"/>
  <c r="AT272" i="5"/>
  <c r="AX272" i="5" s="1"/>
  <c r="AY272" i="5" s="1"/>
  <c r="AF26" i="4"/>
  <c r="AK26" i="4"/>
  <c r="AA26" i="4"/>
  <c r="AC26" i="4" s="1"/>
  <c r="AD26" i="4" s="1"/>
  <c r="AT409" i="5"/>
  <c r="AX408" i="5" s="1"/>
  <c r="AY408" i="5" s="1"/>
  <c r="AA129" i="4"/>
  <c r="AC129" i="4" s="1"/>
  <c r="AD129" i="4" s="1"/>
  <c r="AR129" i="4" s="1"/>
  <c r="AT129" i="4" s="1"/>
  <c r="AO12" i="4"/>
  <c r="AA72" i="4"/>
  <c r="AC72" i="4" s="1"/>
  <c r="AD72" i="4" s="1"/>
  <c r="AR72" i="4" s="1"/>
  <c r="AT72" i="4" s="1"/>
  <c r="AK129" i="4"/>
  <c r="AT11" i="5"/>
  <c r="AU393" i="5"/>
  <c r="AU407" i="5"/>
  <c r="AU185" i="5"/>
  <c r="AA109" i="4"/>
  <c r="AC109" i="4" s="1"/>
  <c r="AD109" i="4" s="1"/>
  <c r="AK109" i="4"/>
  <c r="AA148" i="4"/>
  <c r="AC148" i="4" s="1"/>
  <c r="AD148" i="4" s="1"/>
  <c r="AU64" i="5"/>
  <c r="AU307" i="5"/>
  <c r="AK148" i="4"/>
  <c r="AK72" i="4"/>
  <c r="AU287" i="5"/>
  <c r="AO152" i="4"/>
  <c r="AR152" i="4" s="1"/>
  <c r="AT152" i="4" s="1"/>
  <c r="AK67" i="4"/>
  <c r="AJ67" i="4"/>
  <c r="AA133" i="4"/>
  <c r="AC133" i="4" s="1"/>
  <c r="AD133" i="4" s="1"/>
  <c r="AT340" i="5"/>
  <c r="AX339" i="5" s="1"/>
  <c r="AY339" i="5" s="1"/>
  <c r="AA79" i="4"/>
  <c r="AC79" i="4" s="1"/>
  <c r="AD79" i="4" s="1"/>
  <c r="AJ152" i="4"/>
  <c r="AR108" i="4"/>
  <c r="AT108" i="4" s="1"/>
  <c r="AT10" i="5"/>
  <c r="AT249" i="5"/>
  <c r="AO67" i="4"/>
  <c r="AR67" i="4" s="1"/>
  <c r="AT67" i="4" s="1"/>
  <c r="AK79" i="4"/>
  <c r="AK133" i="4"/>
  <c r="AF133" i="4"/>
  <c r="AG133" i="4" s="1"/>
  <c r="AI133" i="4" s="1"/>
  <c r="AK152" i="4"/>
  <c r="AU230" i="5"/>
  <c r="AU346" i="5"/>
  <c r="AT299" i="5"/>
  <c r="AX299" i="5" s="1"/>
  <c r="AY299" i="5" s="1"/>
  <c r="AA132" i="4"/>
  <c r="AC132" i="4" s="1"/>
  <c r="AD132" i="4" s="1"/>
  <c r="AJ132" i="4"/>
  <c r="AK132" i="4"/>
  <c r="AO105" i="4"/>
  <c r="AG105" i="4"/>
  <c r="AI105" i="4" s="1"/>
  <c r="AF101" i="4"/>
  <c r="AA101" i="4"/>
  <c r="AC101" i="4" s="1"/>
  <c r="AD101" i="4" s="1"/>
  <c r="AK101" i="4"/>
  <c r="AF21" i="4"/>
  <c r="AA21" i="4"/>
  <c r="AC21" i="4" s="1"/>
  <c r="AD21" i="4" s="1"/>
  <c r="AK21" i="4"/>
  <c r="AF24" i="4"/>
  <c r="AK24" i="4"/>
  <c r="AR81" i="4"/>
  <c r="AT81" i="4" s="1"/>
  <c r="AF10" i="4"/>
  <c r="AA10" i="4"/>
  <c r="AC10" i="4" s="1"/>
  <c r="AD10" i="4" s="1"/>
  <c r="AK10" i="4"/>
  <c r="AG140" i="4"/>
  <c r="AI140" i="4" s="1"/>
  <c r="AO140" i="4"/>
  <c r="AO132" i="4"/>
  <c r="AG132" i="4"/>
  <c r="AI132" i="4" s="1"/>
  <c r="AA62" i="4"/>
  <c r="AC62" i="4" s="1"/>
  <c r="AD62" i="4" s="1"/>
  <c r="AF62" i="4"/>
  <c r="AK62" i="4"/>
  <c r="AJ144" i="4"/>
  <c r="Z155" i="4"/>
  <c r="AF155" i="4" s="1"/>
  <c r="Z144" i="4"/>
  <c r="AF144" i="4" s="1"/>
  <c r="AJ155" i="4"/>
  <c r="AF59" i="4"/>
  <c r="AK59" i="4"/>
  <c r="AA59" i="4"/>
  <c r="AC59" i="4" s="1"/>
  <c r="AD59" i="4" s="1"/>
  <c r="AG79" i="4"/>
  <c r="AI79" i="4" s="1"/>
  <c r="AO79" i="4"/>
  <c r="AA94" i="4"/>
  <c r="AC94" i="4" s="1"/>
  <c r="AD94" i="4" s="1"/>
  <c r="AJ94" i="4"/>
  <c r="AF83" i="4"/>
  <c r="AA83" i="4"/>
  <c r="AC83" i="4" s="1"/>
  <c r="AD83" i="4" s="1"/>
  <c r="AK83" i="4"/>
  <c r="AU8" i="5"/>
  <c r="AJ130" i="4"/>
  <c r="Z141" i="4"/>
  <c r="AA141" i="4" s="1"/>
  <c r="AC141" i="4" s="1"/>
  <c r="AD141" i="4" s="1"/>
  <c r="AF94" i="4"/>
  <c r="AK94" i="4"/>
  <c r="AA24" i="4"/>
  <c r="AC24" i="4" s="1"/>
  <c r="AD24" i="4" s="1"/>
  <c r="AJ24" i="4"/>
  <c r="AF58" i="4"/>
  <c r="AA58" i="4"/>
  <c r="AC58" i="4" s="1"/>
  <c r="AD58" i="4" s="1"/>
  <c r="AK58" i="4"/>
  <c r="Z130" i="4"/>
  <c r="AF130" i="4" s="1"/>
  <c r="AF34" i="4"/>
  <c r="AK34" i="4"/>
  <c r="AA34" i="4"/>
  <c r="AC34" i="4" s="1"/>
  <c r="AD34" i="4" s="1"/>
  <c r="AR75" i="4"/>
  <c r="AT75" i="4" s="1"/>
  <c r="AT292" i="5"/>
  <c r="AU391" i="5"/>
  <c r="AT235" i="5"/>
  <c r="AG76" i="4"/>
  <c r="AI76" i="4" s="1"/>
  <c r="AO76" i="4"/>
  <c r="AU162" i="5"/>
  <c r="AG84" i="4"/>
  <c r="AI84" i="4" s="1"/>
  <c r="AO84" i="4"/>
  <c r="AU169" i="5"/>
  <c r="AR143" i="4"/>
  <c r="AT143" i="4" s="1"/>
  <c r="AR103" i="4"/>
  <c r="AT103" i="4" s="1"/>
  <c r="AT487" i="5"/>
  <c r="AX487" i="5" s="1"/>
  <c r="AY487" i="5" s="1"/>
  <c r="AR85" i="4"/>
  <c r="AT85" i="4" s="1"/>
  <c r="AU412" i="5"/>
  <c r="AT458" i="5"/>
  <c r="AX458" i="5" s="1"/>
  <c r="AY458" i="5" s="1"/>
  <c r="AT550" i="5"/>
  <c r="AT233" i="5"/>
  <c r="AX232" i="5" s="1"/>
  <c r="AY232" i="5" s="1"/>
  <c r="AU364" i="5"/>
  <c r="AG120" i="4"/>
  <c r="AI120" i="4" s="1"/>
  <c r="AR120" i="4" s="1"/>
  <c r="AT120" i="4" s="1"/>
  <c r="AT549" i="5"/>
  <c r="AX548" i="5" s="1"/>
  <c r="AY548" i="5" s="1"/>
  <c r="AU328" i="5"/>
  <c r="AU396" i="5"/>
  <c r="AU457" i="5"/>
  <c r="AT547" i="5"/>
  <c r="AX547" i="5" s="1"/>
  <c r="AY547" i="5" s="1"/>
  <c r="AT326" i="5"/>
  <c r="AX326" i="5" s="1"/>
  <c r="AY326" i="5" s="1"/>
  <c r="AT52" i="5"/>
  <c r="AX52" i="5" s="1"/>
  <c r="AY52" i="5" s="1"/>
  <c r="AT196" i="5"/>
  <c r="AT207" i="5"/>
  <c r="AX206" i="5" s="1"/>
  <c r="AY206" i="5" s="1"/>
  <c r="AT545" i="5"/>
  <c r="AX544" i="5" s="1"/>
  <c r="AY544" i="5" s="1"/>
  <c r="AT430" i="5"/>
  <c r="AX429" i="5" s="1"/>
  <c r="AY429" i="5" s="1"/>
  <c r="AU315" i="5"/>
  <c r="AU47" i="5"/>
  <c r="AU92" i="5"/>
  <c r="AT423" i="5"/>
  <c r="AX423" i="5" s="1"/>
  <c r="AY423" i="5" s="1"/>
  <c r="AT527" i="5"/>
  <c r="AT443" i="5"/>
  <c r="AU271" i="5"/>
  <c r="AT510" i="5"/>
  <c r="AX509" i="5" s="1"/>
  <c r="AY509" i="5" s="1"/>
  <c r="AU225" i="5"/>
  <c r="AT352" i="5"/>
  <c r="AX351" i="5" s="1"/>
  <c r="AY351" i="5" s="1"/>
  <c r="AU79" i="5"/>
  <c r="AU418" i="5"/>
  <c r="AU139" i="5"/>
  <c r="AU539" i="5"/>
  <c r="AT535" i="5"/>
  <c r="AX535" i="5" s="1"/>
  <c r="AY535" i="5" s="1"/>
  <c r="AT191" i="5"/>
  <c r="AX191" i="5" s="1"/>
  <c r="AY191" i="5" s="1"/>
  <c r="AT56" i="5"/>
  <c r="AX56" i="5" s="1"/>
  <c r="AY56" i="5" s="1"/>
  <c r="AT497" i="5"/>
  <c r="AU57" i="5"/>
  <c r="AU490" i="5"/>
  <c r="AT419" i="5"/>
  <c r="AX418" i="5" s="1"/>
  <c r="AY418" i="5" s="1"/>
  <c r="AU98" i="5"/>
  <c r="AT96" i="5"/>
  <c r="AX96" i="5" s="1"/>
  <c r="AY96" i="5" s="1"/>
  <c r="AX347" i="5"/>
  <c r="AY347" i="5" s="1"/>
  <c r="AT542" i="5"/>
  <c r="AX542" i="5" s="1"/>
  <c r="AY542" i="5" s="1"/>
  <c r="AT154" i="5"/>
  <c r="AX153" i="5" s="1"/>
  <c r="AY153" i="5" s="1"/>
  <c r="AU84" i="5"/>
  <c r="AT172" i="5"/>
  <c r="AX172" i="5" s="1"/>
  <c r="AY172" i="5" s="1"/>
  <c r="AT358" i="5"/>
  <c r="AX358" i="5" s="1"/>
  <c r="AY358" i="5" s="1"/>
  <c r="AT124" i="5"/>
  <c r="AX123" i="5" s="1"/>
  <c r="AY123" i="5" s="1"/>
  <c r="AX384" i="5"/>
  <c r="AY384" i="5" s="1"/>
  <c r="AT164" i="5"/>
  <c r="AX163" i="5" s="1"/>
  <c r="AY163" i="5" s="1"/>
  <c r="AX425" i="5"/>
  <c r="AY425" i="5" s="1"/>
  <c r="AU503" i="5"/>
  <c r="AU330" i="5"/>
  <c r="AU211" i="5"/>
  <c r="AU322" i="5"/>
  <c r="AU281" i="5"/>
  <c r="AT61" i="5"/>
  <c r="AU435" i="5"/>
  <c r="AT227" i="5"/>
  <c r="AX226" i="5" s="1"/>
  <c r="AY226" i="5" s="1"/>
  <c r="AT526" i="5"/>
  <c r="AX525" i="5" s="1"/>
  <c r="AY525" i="5" s="1"/>
  <c r="AU224" i="5"/>
  <c r="AU39" i="5"/>
  <c r="AT28" i="5"/>
  <c r="AX28" i="5" s="1"/>
  <c r="AY28" i="5" s="1"/>
  <c r="AT519" i="5"/>
  <c r="AT357" i="5"/>
  <c r="AX356" i="5" s="1"/>
  <c r="AY356" i="5" s="1"/>
  <c r="AT107" i="5"/>
  <c r="AX107" i="5" s="1"/>
  <c r="AY107" i="5" s="1"/>
  <c r="AX135" i="5"/>
  <c r="AY135" i="5" s="1"/>
  <c r="AU493" i="5"/>
  <c r="AU177" i="5"/>
  <c r="AU131" i="5"/>
  <c r="AT51" i="5"/>
  <c r="AT246" i="5"/>
  <c r="AX245" i="5" s="1"/>
  <c r="AY245" i="5" s="1"/>
  <c r="AT442" i="5"/>
  <c r="AX479" i="5"/>
  <c r="AY479" i="5" s="1"/>
  <c r="AX552" i="5"/>
  <c r="AY552" i="5" s="1"/>
  <c r="AX456" i="5"/>
  <c r="AY456" i="5" s="1"/>
  <c r="AX159" i="5"/>
  <c r="AY159" i="5" s="1"/>
  <c r="AT89" i="5"/>
  <c r="AX286" i="5"/>
  <c r="AY286" i="5" s="1"/>
  <c r="AT516" i="5"/>
  <c r="AX515" i="5" s="1"/>
  <c r="AY515" i="5" s="1"/>
  <c r="AT41" i="5"/>
  <c r="AU71" i="5"/>
  <c r="AT367" i="5"/>
  <c r="AX367" i="5" s="1"/>
  <c r="AY367" i="5" s="1"/>
  <c r="AU86" i="5"/>
  <c r="AT190" i="5"/>
  <c r="AT152" i="5"/>
  <c r="AX151" i="5" s="1"/>
  <c r="AY151" i="5" s="1"/>
  <c r="AU273" i="5"/>
  <c r="AU439" i="5"/>
  <c r="AX311" i="5"/>
  <c r="AY311" i="5" s="1"/>
  <c r="AT88" i="5"/>
  <c r="AX87" i="5" s="1"/>
  <c r="AY87" i="5" s="1"/>
  <c r="AX407" i="5"/>
  <c r="AY407" i="5" s="1"/>
  <c r="AX328" i="5"/>
  <c r="AY328" i="5" s="1"/>
  <c r="AT156" i="5"/>
  <c r="AU195" i="5"/>
  <c r="AX349" i="5"/>
  <c r="AY349" i="5" s="1"/>
  <c r="AU368" i="5"/>
  <c r="B123" i="2"/>
  <c r="H29" i="1" s="1"/>
  <c r="AU355" i="5"/>
  <c r="AT334" i="5"/>
  <c r="AX333" i="5" s="1"/>
  <c r="AY333" i="5" s="1"/>
  <c r="AU276" i="5"/>
  <c r="AT30" i="5"/>
  <c r="AX30" i="5" s="1"/>
  <c r="AY30" i="5" s="1"/>
  <c r="AX523" i="5"/>
  <c r="AY523" i="5" s="1"/>
  <c r="AX169" i="5"/>
  <c r="AY169" i="5" s="1"/>
  <c r="AT415" i="5"/>
  <c r="AX415" i="5" s="1"/>
  <c r="AY415" i="5" s="1"/>
  <c r="AT531" i="5"/>
  <c r="AX531" i="5" s="1"/>
  <c r="AY531" i="5" s="1"/>
  <c r="AX503" i="5"/>
  <c r="AY503" i="5" s="1"/>
  <c r="AT431" i="5"/>
  <c r="AX431" i="5" s="1"/>
  <c r="AY431" i="5" s="1"/>
  <c r="AU372" i="5"/>
  <c r="AT242" i="5"/>
  <c r="AX241" i="5" s="1"/>
  <c r="AY241" i="5" s="1"/>
  <c r="AU389" i="5"/>
  <c r="AR97" i="4"/>
  <c r="AT97" i="4" s="1"/>
  <c r="AR45" i="4"/>
  <c r="AT45" i="4" s="1"/>
  <c r="AX488" i="5"/>
  <c r="AY488" i="5" s="1"/>
  <c r="AU250" i="5"/>
  <c r="AX520" i="5"/>
  <c r="AY520" i="5" s="1"/>
  <c r="AX251" i="5"/>
  <c r="AY251" i="5" s="1"/>
  <c r="AX368" i="5"/>
  <c r="AY368" i="5" s="1"/>
  <c r="AU507" i="5"/>
  <c r="AU474" i="5"/>
  <c r="AX449" i="5"/>
  <c r="AY449" i="5" s="1"/>
  <c r="AO32" i="4"/>
  <c r="AR32" i="4" s="1"/>
  <c r="AT32" i="4" s="1"/>
  <c r="AR17" i="4"/>
  <c r="AT17" i="4" s="1"/>
  <c r="AX350" i="5"/>
  <c r="AY350" i="5" s="1"/>
  <c r="AX392" i="5"/>
  <c r="AY392" i="5" s="1"/>
  <c r="AX34" i="5"/>
  <c r="AY34" i="5" s="1"/>
  <c r="AR123" i="4"/>
  <c r="AT123" i="4" s="1"/>
  <c r="AR111" i="4"/>
  <c r="AT111" i="4" s="1"/>
  <c r="AX180" i="5"/>
  <c r="AY180" i="5" s="1"/>
  <c r="AX287" i="5"/>
  <c r="AY287" i="5" s="1"/>
  <c r="AX505" i="5"/>
  <c r="AY505" i="5" s="1"/>
  <c r="AX434" i="5"/>
  <c r="AY434" i="5" s="1"/>
  <c r="AO95" i="4"/>
  <c r="AG95" i="4"/>
  <c r="AI95" i="4" s="1"/>
  <c r="AO116" i="4"/>
  <c r="AG116" i="4"/>
  <c r="AI116" i="4" s="1"/>
  <c r="AG35" i="4"/>
  <c r="AI35" i="4" s="1"/>
  <c r="AO35" i="4"/>
  <c r="AG134" i="4"/>
  <c r="AI134" i="4" s="1"/>
  <c r="AO134" i="4"/>
  <c r="AG69" i="4"/>
  <c r="AI69" i="4" s="1"/>
  <c r="AO69" i="4"/>
  <c r="AG20" i="4"/>
  <c r="AI20" i="4" s="1"/>
  <c r="AO20" i="4"/>
  <c r="AG38" i="4"/>
  <c r="AI38" i="4" s="1"/>
  <c r="AO38" i="4"/>
  <c r="AO54" i="4"/>
  <c r="AG54" i="4"/>
  <c r="AI54" i="4" s="1"/>
  <c r="AO126" i="4"/>
  <c r="AG126" i="4"/>
  <c r="AI126" i="4" s="1"/>
  <c r="AR70" i="4"/>
  <c r="AT70" i="4" s="1"/>
  <c r="AG23" i="4"/>
  <c r="AI23" i="4" s="1"/>
  <c r="AO23" i="4"/>
  <c r="AG127" i="4"/>
  <c r="AI127" i="4" s="1"/>
  <c r="AO127" i="4"/>
  <c r="AG109" i="4"/>
  <c r="AI109" i="4" s="1"/>
  <c r="AO109" i="4"/>
  <c r="AO100" i="4"/>
  <c r="AG100" i="4"/>
  <c r="AI100" i="4" s="1"/>
  <c r="AO64" i="4"/>
  <c r="AG64" i="4"/>
  <c r="AI64" i="4" s="1"/>
  <c r="AR44" i="4"/>
  <c r="AT44" i="4" s="1"/>
  <c r="AG8" i="4"/>
  <c r="AI8" i="4" s="1"/>
  <c r="AO8" i="4"/>
  <c r="AO128" i="4"/>
  <c r="AG128" i="4"/>
  <c r="AI128" i="4" s="1"/>
  <c r="AG150" i="4"/>
  <c r="AI150" i="4" s="1"/>
  <c r="AO150" i="4"/>
  <c r="AG86" i="4"/>
  <c r="AI86" i="4" s="1"/>
  <c r="AO86" i="4"/>
  <c r="AG77" i="4"/>
  <c r="AI77" i="4" s="1"/>
  <c r="AO77" i="4"/>
  <c r="AO47" i="4"/>
  <c r="AG47" i="4"/>
  <c r="AI47" i="4" s="1"/>
  <c r="AG93" i="4"/>
  <c r="AI93" i="4" s="1"/>
  <c r="AO93" i="4"/>
  <c r="AO7" i="4"/>
  <c r="AG7" i="4"/>
  <c r="AI7" i="4" s="1"/>
  <c r="AG148" i="4"/>
  <c r="AI148" i="4" s="1"/>
  <c r="AO148" i="4"/>
  <c r="AX338" i="5"/>
  <c r="AY338" i="5" s="1"/>
  <c r="AO135" i="4"/>
  <c r="AG135" i="4"/>
  <c r="AI135" i="4" s="1"/>
  <c r="AO14" i="4"/>
  <c r="AG14" i="4"/>
  <c r="AI14" i="4" s="1"/>
  <c r="AO157" i="4"/>
  <c r="AG157" i="4"/>
  <c r="AI157" i="4" s="1"/>
  <c r="AO137" i="4"/>
  <c r="AG137" i="4"/>
  <c r="AI137" i="4" s="1"/>
  <c r="AO63" i="4"/>
  <c r="AG63" i="4"/>
  <c r="AI63" i="4" s="1"/>
  <c r="AO39" i="4"/>
  <c r="AG39" i="4"/>
  <c r="AI39" i="4" s="1"/>
  <c r="AO52" i="4"/>
  <c r="AG52" i="4"/>
  <c r="AI52" i="4" s="1"/>
  <c r="AT9" i="5"/>
  <c r="AU9" i="5"/>
  <c r="AX341" i="5"/>
  <c r="AY341" i="5" s="1"/>
  <c r="AX86" i="5"/>
  <c r="AY86" i="5" s="1"/>
  <c r="AX498" i="5"/>
  <c r="AY498" i="5" s="1"/>
  <c r="AX314" i="5"/>
  <c r="AY314" i="5" s="1"/>
  <c r="AX224" i="5"/>
  <c r="AY224" i="5" s="1"/>
  <c r="AX183" i="5"/>
  <c r="AY183" i="5" s="1"/>
  <c r="AX464" i="5"/>
  <c r="AY464" i="5" s="1"/>
  <c r="AX84" i="5"/>
  <c r="AY84" i="5" s="1"/>
  <c r="AX39" i="5"/>
  <c r="AY39" i="5" s="1"/>
  <c r="AX447" i="5"/>
  <c r="AY447" i="5" s="1"/>
  <c r="AX33" i="5"/>
  <c r="AY33" i="5" s="1"/>
  <c r="AX362" i="5"/>
  <c r="AY362" i="5" s="1"/>
  <c r="AR114" i="4"/>
  <c r="AT114" i="4" s="1"/>
  <c r="AX355" i="5"/>
  <c r="AY355" i="5" s="1"/>
  <c r="AX279" i="5"/>
  <c r="AY279" i="5" s="1"/>
  <c r="AX160" i="5"/>
  <c r="AY160" i="5" s="1"/>
  <c r="AX260" i="5"/>
  <c r="AY260" i="5" s="1"/>
  <c r="AX435" i="5"/>
  <c r="AY435" i="5" s="1"/>
  <c r="AX369" i="5"/>
  <c r="AY369" i="5" s="1"/>
  <c r="AX188" i="5"/>
  <c r="AY188" i="5" s="1"/>
  <c r="AX252" i="5"/>
  <c r="AY252" i="5" s="1"/>
  <c r="AX199" i="5"/>
  <c r="AY199" i="5" s="1"/>
  <c r="AX329" i="5"/>
  <c r="AY329" i="5" s="1"/>
  <c r="AX274" i="5"/>
  <c r="AY274" i="5" s="1"/>
  <c r="AX165" i="5"/>
  <c r="AY165" i="5" s="1"/>
  <c r="AX283" i="5"/>
  <c r="AY283" i="5" s="1"/>
  <c r="AX481" i="5"/>
  <c r="AY481" i="5" s="1"/>
  <c r="AX395" i="5"/>
  <c r="AY395" i="5" s="1"/>
  <c r="AX364" i="5"/>
  <c r="AY364" i="5" s="1"/>
  <c r="AX137" i="5"/>
  <c r="AY137" i="5" s="1"/>
  <c r="AX424" i="5"/>
  <c r="AY424" i="5" s="1"/>
  <c r="AX79" i="5"/>
  <c r="AY79" i="5" s="1"/>
  <c r="AX379" i="5"/>
  <c r="AY379" i="5" s="1"/>
  <c r="AX432" i="5"/>
  <c r="AY432" i="5" s="1"/>
  <c r="AX269" i="5"/>
  <c r="AY269" i="5" s="1"/>
  <c r="AX211" i="5"/>
  <c r="AY211" i="5" s="1"/>
  <c r="AX489" i="5"/>
  <c r="AY489" i="5" s="1"/>
  <c r="AX85" i="5"/>
  <c r="AY85" i="5" s="1"/>
  <c r="AX25" i="5"/>
  <c r="AY25" i="5" s="1"/>
  <c r="AX288" i="5"/>
  <c r="AY288" i="5" s="1"/>
  <c r="AX265" i="5"/>
  <c r="AY265" i="5" s="1"/>
  <c r="AX372" i="5"/>
  <c r="AY372" i="5" s="1"/>
  <c r="AX303" i="5"/>
  <c r="AY303" i="5" s="1"/>
  <c r="AX342" i="5"/>
  <c r="AY342" i="5" s="1"/>
  <c r="AX43" i="5"/>
  <c r="AY43" i="5" s="1"/>
  <c r="AX146" i="5"/>
  <c r="AY146" i="5" s="1"/>
  <c r="AX270" i="5"/>
  <c r="AY270" i="5" s="1"/>
  <c r="AX176" i="5"/>
  <c r="AY176" i="5" s="1"/>
  <c r="AX187" i="5"/>
  <c r="AY187" i="5" s="1"/>
  <c r="AX398" i="5"/>
  <c r="AY398" i="5" s="1"/>
  <c r="AX421" i="5"/>
  <c r="AY421" i="5" s="1"/>
  <c r="AX337" i="5"/>
  <c r="AY337" i="5" s="1"/>
  <c r="AX345" i="5"/>
  <c r="AY345" i="5" s="1"/>
  <c r="AX223" i="5"/>
  <c r="AY223" i="5" s="1"/>
  <c r="AX413" i="5"/>
  <c r="AY413" i="5" s="1"/>
  <c r="AX380" i="5"/>
  <c r="AY380" i="5" s="1"/>
  <c r="AX386" i="5"/>
  <c r="AY386" i="5" s="1"/>
  <c r="AX130" i="5"/>
  <c r="AY130" i="5" s="1"/>
  <c r="AX63" i="5"/>
  <c r="AY63" i="5" s="1"/>
  <c r="AX331" i="5"/>
  <c r="AY331" i="5" s="1"/>
  <c r="AX261" i="5"/>
  <c r="AY261" i="5" s="1"/>
  <c r="AX205" i="5"/>
  <c r="AY205" i="5" s="1"/>
  <c r="AX426" i="5"/>
  <c r="AY426" i="5" s="1"/>
  <c r="AX511" i="5"/>
  <c r="AY511" i="5" s="1"/>
  <c r="AX161" i="5"/>
  <c r="AY161" i="5" s="1"/>
  <c r="AX282" i="5"/>
  <c r="AY282" i="5" s="1"/>
  <c r="AX438" i="5"/>
  <c r="AY438" i="5" s="1"/>
  <c r="AX37" i="5"/>
  <c r="AY37" i="5" s="1"/>
  <c r="AX273" i="5"/>
  <c r="AY273" i="5" s="1"/>
  <c r="AX537" i="5"/>
  <c r="AY537" i="5" s="1"/>
  <c r="AX83" i="5"/>
  <c r="AY83" i="5" s="1"/>
  <c r="AR92" i="4"/>
  <c r="AT92" i="4" s="1"/>
  <c r="AR121" i="4"/>
  <c r="AT121" i="4" s="1"/>
  <c r="AR154" i="4"/>
  <c r="AT154" i="4" s="1"/>
  <c r="AR156" i="4"/>
  <c r="AT156" i="4" s="1"/>
  <c r="AR50" i="4"/>
  <c r="AT50" i="4" s="1"/>
  <c r="AR29" i="4"/>
  <c r="AT29" i="4" s="1"/>
  <c r="AR138" i="4"/>
  <c r="AT138" i="4" s="1"/>
  <c r="AR104" i="4"/>
  <c r="AT104" i="4" s="1"/>
  <c r="AR113" i="4"/>
  <c r="AT113" i="4" s="1"/>
  <c r="AR147" i="4"/>
  <c r="AT147" i="4" s="1"/>
  <c r="AR51" i="4"/>
  <c r="AT51" i="4" s="1"/>
  <c r="AR122" i="4"/>
  <c r="AT122" i="4" s="1"/>
  <c r="AR65" i="4"/>
  <c r="AT65" i="4" s="1"/>
  <c r="AR124" i="4"/>
  <c r="AT124" i="4" s="1"/>
  <c r="AR88" i="4"/>
  <c r="AT88" i="4" s="1"/>
  <c r="AR90" i="4"/>
  <c r="AT90" i="4" s="1"/>
  <c r="AR11" i="4"/>
  <c r="AT11" i="4" s="1"/>
  <c r="AR146" i="4"/>
  <c r="AT146" i="4" s="1"/>
  <c r="AR33" i="4"/>
  <c r="AT33" i="4" s="1"/>
  <c r="AR131" i="4"/>
  <c r="AT131" i="4" s="1"/>
  <c r="AX394" i="5"/>
  <c r="AY394" i="5" s="1"/>
  <c r="AX166" i="5"/>
  <c r="AY166" i="5" s="1"/>
  <c r="AT13" i="5"/>
  <c r="AU13" i="5"/>
  <c r="AX436" i="5"/>
  <c r="AY436" i="5" s="1"/>
  <c r="AX44" i="5"/>
  <c r="AY44" i="5" s="1"/>
  <c r="AX92" i="5"/>
  <c r="AY92" i="5" s="1"/>
  <c r="AX381" i="5"/>
  <c r="AY381" i="5" s="1"/>
  <c r="AX215" i="5"/>
  <c r="AY215" i="5" s="1"/>
  <c r="AR28" i="4"/>
  <c r="AT28" i="4" s="1"/>
  <c r="AX280" i="5"/>
  <c r="AY280" i="5" s="1"/>
  <c r="AX125" i="5"/>
  <c r="AY125" i="5" s="1"/>
  <c r="AX476" i="5"/>
  <c r="AY476" i="5" s="1"/>
  <c r="AX445" i="5"/>
  <c r="AY445" i="5" s="1"/>
  <c r="AO91" i="4"/>
  <c r="AG91" i="4"/>
  <c r="AI91" i="4" s="1"/>
  <c r="AX225" i="5"/>
  <c r="AY225" i="5" s="1"/>
  <c r="AX24" i="5"/>
  <c r="AY24" i="5" s="1"/>
  <c r="AX448" i="5"/>
  <c r="AY448" i="5" s="1"/>
  <c r="AR80" i="4"/>
  <c r="AT80" i="4" s="1"/>
  <c r="AX256" i="5"/>
  <c r="AY256" i="5" s="1"/>
  <c r="AX275" i="5"/>
  <c r="AY275" i="5" s="1"/>
  <c r="AX32" i="5"/>
  <c r="AY32" i="5" s="1"/>
  <c r="AX504" i="5"/>
  <c r="AY504" i="5" s="1"/>
  <c r="AX319" i="5"/>
  <c r="AY319" i="5" s="1"/>
  <c r="AX393" i="5"/>
  <c r="AY393" i="5" s="1"/>
  <c r="AX467" i="5"/>
  <c r="AY467" i="5" s="1"/>
  <c r="F70" i="1"/>
  <c r="B231" i="2"/>
  <c r="F71" i="1" s="1"/>
  <c r="AX385" i="5"/>
  <c r="AY385" i="5" s="1"/>
  <c r="AX506" i="5"/>
  <c r="AY506" i="5" s="1"/>
  <c r="AX417" i="5"/>
  <c r="AY417" i="5" s="1"/>
  <c r="AX70" i="5"/>
  <c r="AY70" i="5" s="1"/>
  <c r="AR99" i="4"/>
  <c r="AT99" i="4" s="1"/>
  <c r="AX538" i="5"/>
  <c r="AY538" i="5" s="1"/>
  <c r="AX22" i="5"/>
  <c r="AY22" i="5" s="1"/>
  <c r="AX396" i="5"/>
  <c r="AY396" i="5" s="1"/>
  <c r="AX446" i="5"/>
  <c r="AY446" i="5" s="1"/>
  <c r="AX348" i="5"/>
  <c r="AY348" i="5" s="1"/>
  <c r="AX420" i="5"/>
  <c r="AY420" i="5" s="1"/>
  <c r="AX117" i="5"/>
  <c r="AY117" i="5" s="1"/>
  <c r="AX433" i="5"/>
  <c r="AY433" i="5" s="1"/>
  <c r="AX371" i="5"/>
  <c r="AY371" i="5" s="1"/>
  <c r="AX484" i="5"/>
  <c r="AY484" i="5" s="1"/>
  <c r="AX553" i="5"/>
  <c r="AY553" i="5" s="1"/>
  <c r="AX471" i="5"/>
  <c r="AY471" i="5" s="1"/>
  <c r="AX203" i="5"/>
  <c r="AY203" i="5" s="1"/>
  <c r="AX204" i="5"/>
  <c r="AY204" i="5" s="1"/>
  <c r="AX480" i="5"/>
  <c r="AY480" i="5" s="1"/>
  <c r="AX453" i="5"/>
  <c r="AY453" i="5" s="1"/>
  <c r="AR107" i="4"/>
  <c r="AT107" i="4" s="1"/>
  <c r="AX138" i="5"/>
  <c r="AY138" i="5" s="1"/>
  <c r="AX439" i="5"/>
  <c r="AY439" i="5" s="1"/>
  <c r="AX108" i="5"/>
  <c r="AY108" i="5" s="1"/>
  <c r="AR16" i="4"/>
  <c r="AT16" i="4" s="1"/>
  <c r="AX304" i="5"/>
  <c r="AY304" i="5" s="1"/>
  <c r="AX532" i="5"/>
  <c r="AY532" i="5" s="1"/>
  <c r="AX370" i="5"/>
  <c r="AY370" i="5" s="1"/>
  <c r="AR55" i="4"/>
  <c r="AT55" i="4" s="1"/>
  <c r="AR115" i="4"/>
  <c r="AT115" i="4" s="1"/>
  <c r="AR42" i="4"/>
  <c r="AT42" i="4" s="1"/>
  <c r="AX121" i="5"/>
  <c r="AY121" i="5" s="1"/>
  <c r="AX289" i="5"/>
  <c r="AY289" i="5" s="1"/>
  <c r="AX490" i="5"/>
  <c r="AY490" i="5" s="1"/>
  <c r="AX297" i="5"/>
  <c r="AY297" i="5" s="1"/>
  <c r="AX459" i="5"/>
  <c r="AY459" i="5" s="1"/>
  <c r="AX514" i="5"/>
  <c r="AY514" i="5" s="1"/>
  <c r="AX136" i="5"/>
  <c r="AY136" i="5" s="1"/>
  <c r="AR60" i="4"/>
  <c r="AT60" i="4" s="1"/>
  <c r="AX397" i="5"/>
  <c r="AY397" i="5" s="1"/>
  <c r="AX543" i="5"/>
  <c r="AY543" i="5" s="1"/>
  <c r="AX100" i="5"/>
  <c r="AY100" i="5" s="1"/>
  <c r="AX346" i="5"/>
  <c r="AY346" i="5" s="1"/>
  <c r="AX460" i="5"/>
  <c r="AY460" i="5" s="1"/>
  <c r="AX521" i="5"/>
  <c r="AY521" i="5" s="1"/>
  <c r="AX522" i="5"/>
  <c r="AY522" i="5" s="1"/>
  <c r="AO73" i="4"/>
  <c r="AG73" i="4"/>
  <c r="AI73" i="4" s="1"/>
  <c r="AX69" i="5"/>
  <c r="AY69" i="5" s="1"/>
  <c r="AX416" i="5"/>
  <c r="AY416" i="5" s="1"/>
  <c r="AX268" i="5"/>
  <c r="AY268" i="5" s="1"/>
  <c r="AX399" i="5"/>
  <c r="AY399" i="5" s="1"/>
  <c r="AX281" i="5"/>
  <c r="AY281" i="5" s="1"/>
  <c r="AX330" i="5"/>
  <c r="AY330" i="5" s="1"/>
  <c r="AX375" i="5"/>
  <c r="AY375" i="5" s="1"/>
  <c r="AX192" i="5"/>
  <c r="AY192" i="5" s="1"/>
  <c r="AX126" i="5"/>
  <c r="AY126" i="5" s="1"/>
  <c r="AX162" i="5"/>
  <c r="AY162" i="5" s="1"/>
  <c r="AX170" i="5"/>
  <c r="AY170" i="5" s="1"/>
  <c r="AX336" i="5"/>
  <c r="AY336" i="5" s="1"/>
  <c r="AX293" i="5"/>
  <c r="AY293" i="5" s="1"/>
  <c r="AR117" i="4"/>
  <c r="AT117" i="4" s="1"/>
  <c r="AX91" i="5"/>
  <c r="AY91" i="5" s="1"/>
  <c r="AR119" i="4"/>
  <c r="AT119" i="4" s="1"/>
  <c r="AX524" i="5"/>
  <c r="AY524" i="5" s="1"/>
  <c r="AX437" i="5"/>
  <c r="AY437" i="5" s="1"/>
  <c r="AR56" i="4"/>
  <c r="AT56" i="4" s="1"/>
  <c r="AX536" i="5"/>
  <c r="AY536" i="5" s="1"/>
  <c r="AX296" i="5"/>
  <c r="AY296" i="5" s="1"/>
  <c r="AX253" i="5"/>
  <c r="AY253" i="5" s="1"/>
  <c r="AX502" i="5"/>
  <c r="AY502" i="5" s="1"/>
  <c r="AX391" i="5"/>
  <c r="AY391" i="5" s="1"/>
  <c r="AX250" i="5"/>
  <c r="AY250" i="5" s="1"/>
  <c r="AX412" i="5"/>
  <c r="AY412" i="5" s="1"/>
  <c r="AX114" i="5"/>
  <c r="AY114" i="5" s="1"/>
  <c r="AR110" i="4"/>
  <c r="AT110" i="4" s="1"/>
  <c r="AX284" i="5"/>
  <c r="AY284" i="5" s="1"/>
  <c r="AX533" i="5"/>
  <c r="AY533" i="5" s="1"/>
  <c r="AX332" i="5"/>
  <c r="AY332" i="5" s="1"/>
  <c r="AX327" i="5"/>
  <c r="AY327" i="5" s="1"/>
  <c r="AR13" i="4"/>
  <c r="AT13" i="4" s="1"/>
  <c r="AX31" i="5"/>
  <c r="AY31" i="5" s="1"/>
  <c r="AR153" i="4"/>
  <c r="AT153" i="4" s="1"/>
  <c r="AX285" i="5"/>
  <c r="AY285" i="5" s="1"/>
  <c r="AX181" i="5"/>
  <c r="AY181" i="5" s="1"/>
  <c r="AX406" i="5"/>
  <c r="AY406" i="5" s="1"/>
  <c r="AX363" i="5"/>
  <c r="AY363" i="5" s="1"/>
  <c r="AX142" i="5"/>
  <c r="AY142" i="5" s="1"/>
  <c r="AX38" i="5"/>
  <c r="AY38" i="5" s="1"/>
  <c r="AX499" i="5"/>
  <c r="AY499" i="5" s="1"/>
  <c r="AR48" i="4"/>
  <c r="AT48" i="4" s="1"/>
  <c r="AO37" i="4" l="1"/>
  <c r="AX234" i="5"/>
  <c r="AY234" i="5" s="1"/>
  <c r="AY255" i="5"/>
  <c r="AX482" i="5"/>
  <c r="AY482" i="5" s="1"/>
  <c r="AX508" i="5"/>
  <c r="AY508" i="5" s="1"/>
  <c r="AY219" i="5"/>
  <c r="AX402" i="5"/>
  <c r="AY402" i="5" s="1"/>
  <c r="AX469" i="5"/>
  <c r="AY469" i="5" s="1"/>
  <c r="AX529" i="5"/>
  <c r="AY529" i="5" s="1"/>
  <c r="AX462" i="5"/>
  <c r="AY462" i="5" s="1"/>
  <c r="AX465" i="5"/>
  <c r="AY465" i="5" s="1"/>
  <c r="AX243" i="5"/>
  <c r="AY243" i="5" s="1"/>
  <c r="AX540" i="5"/>
  <c r="AY540" i="5" s="1"/>
  <c r="AR142" i="4"/>
  <c r="AT142" i="4" s="1"/>
  <c r="AX468" i="5"/>
  <c r="AY468" i="5" s="1"/>
  <c r="AX307" i="5"/>
  <c r="AY307" i="5" s="1"/>
  <c r="AX518" i="5"/>
  <c r="AY518" i="5" s="1"/>
  <c r="AX555" i="5"/>
  <c r="AY555" i="5" s="1"/>
  <c r="AX312" i="5"/>
  <c r="AY312" i="5" s="1"/>
  <c r="AX390" i="5"/>
  <c r="AY390" i="5" s="1"/>
  <c r="AX455" i="5"/>
  <c r="AY455" i="5" s="1"/>
  <c r="AX478" i="5"/>
  <c r="AY478" i="5" s="1"/>
  <c r="AX474" i="5"/>
  <c r="AY474" i="5" s="1"/>
  <c r="AX266" i="5"/>
  <c r="AY266" i="5" s="1"/>
  <c r="AX200" i="5"/>
  <c r="AY200" i="5" s="1"/>
  <c r="AX57" i="5"/>
  <c r="AY57" i="5" s="1"/>
  <c r="AX374" i="5"/>
  <c r="AY374" i="5" s="1"/>
  <c r="AX410" i="5"/>
  <c r="AY410" i="5" s="1"/>
  <c r="AR125" i="4"/>
  <c r="AT125" i="4" s="1"/>
  <c r="AX41" i="5"/>
  <c r="AY41" i="5" s="1"/>
  <c r="AG22" i="4"/>
  <c r="AI22" i="4" s="1"/>
  <c r="AR22" i="4" s="1"/>
  <c r="AT22" i="4" s="1"/>
  <c r="AX513" i="5"/>
  <c r="AY513" i="5" s="1"/>
  <c r="AX305" i="5"/>
  <c r="AY305" i="5" s="1"/>
  <c r="AX315" i="5"/>
  <c r="AY315" i="5" s="1"/>
  <c r="AX295" i="5"/>
  <c r="AY295" i="5" s="1"/>
  <c r="AX213" i="5"/>
  <c r="AY213" i="5" s="1"/>
  <c r="AX221" i="5"/>
  <c r="AY221" i="5" s="1"/>
  <c r="AX145" i="5"/>
  <c r="AY145" i="5" s="1"/>
  <c r="AX185" i="5"/>
  <c r="AY185" i="5" s="1"/>
  <c r="AX443" i="5"/>
  <c r="AY443" i="5" s="1"/>
  <c r="AX36" i="5"/>
  <c r="AY36" i="5" s="1"/>
  <c r="AX360" i="5"/>
  <c r="AY360" i="5" s="1"/>
  <c r="AX354" i="5"/>
  <c r="AY354" i="5" s="1"/>
  <c r="AX359" i="5"/>
  <c r="AY359" i="5" s="1"/>
  <c r="AX248" i="5"/>
  <c r="AY248" i="5" s="1"/>
  <c r="AX301" i="5"/>
  <c r="AY301" i="5" s="1"/>
  <c r="AX174" i="5"/>
  <c r="AY174" i="5" s="1"/>
  <c r="AX112" i="5"/>
  <c r="AY112" i="5" s="1"/>
  <c r="AX428" i="5"/>
  <c r="AY428" i="5" s="1"/>
  <c r="AX310" i="5"/>
  <c r="AY310" i="5" s="1"/>
  <c r="AX47" i="5"/>
  <c r="AY47" i="5" s="1"/>
  <c r="AX157" i="5"/>
  <c r="AY157" i="5" s="1"/>
  <c r="AX493" i="5"/>
  <c r="AY493" i="5" s="1"/>
  <c r="AX119" i="5"/>
  <c r="AY119" i="5" s="1"/>
  <c r="AX344" i="5"/>
  <c r="AY344" i="5" s="1"/>
  <c r="AX60" i="5"/>
  <c r="AY60" i="5" s="1"/>
  <c r="AX461" i="5"/>
  <c r="AY461" i="5" s="1"/>
  <c r="AX259" i="5"/>
  <c r="AY259" i="5" s="1"/>
  <c r="AX238" i="5"/>
  <c r="AY238" i="5" s="1"/>
  <c r="AX403" i="5"/>
  <c r="AY403" i="5" s="1"/>
  <c r="AX194" i="5"/>
  <c r="AY194" i="5" s="1"/>
  <c r="AX66" i="5"/>
  <c r="AY66" i="5" s="1"/>
  <c r="AX93" i="5"/>
  <c r="AY93" i="5" s="1"/>
  <c r="AX178" i="5"/>
  <c r="AY178" i="5" s="1"/>
  <c r="AX263" i="5"/>
  <c r="AY263" i="5" s="1"/>
  <c r="AX89" i="5"/>
  <c r="AY89" i="5" s="1"/>
  <c r="AX244" i="5"/>
  <c r="AY244" i="5" s="1"/>
  <c r="AX140" i="5"/>
  <c r="AY140" i="5" s="1"/>
  <c r="AX276" i="5"/>
  <c r="AY276" i="5" s="1"/>
  <c r="AX220" i="5"/>
  <c r="AY220" i="5" s="1"/>
  <c r="AX210" i="5"/>
  <c r="AY210" i="5" s="1"/>
  <c r="AX550" i="5"/>
  <c r="AY550" i="5" s="1"/>
  <c r="AX452" i="5"/>
  <c r="AY452" i="5" s="1"/>
  <c r="AX75" i="5"/>
  <c r="AY75" i="5" s="1"/>
  <c r="AX383" i="5"/>
  <c r="AY383" i="5" s="1"/>
  <c r="AX404" i="5"/>
  <c r="AY404" i="5" s="1"/>
  <c r="AX401" i="5"/>
  <c r="AY401" i="5" s="1"/>
  <c r="AX230" i="5"/>
  <c r="AY230" i="5" s="1"/>
  <c r="AX317" i="5"/>
  <c r="AY317" i="5" s="1"/>
  <c r="AX554" i="5"/>
  <c r="AY554" i="5" s="1"/>
  <c r="AX149" i="5"/>
  <c r="AY149" i="5" s="1"/>
  <c r="AX104" i="5"/>
  <c r="AY104" i="5" s="1"/>
  <c r="AX237" i="5"/>
  <c r="AY237" i="5" s="1"/>
  <c r="AX82" i="5"/>
  <c r="AY82" i="5" s="1"/>
  <c r="AX133" i="5"/>
  <c r="AY133" i="5" s="1"/>
  <c r="AX110" i="5"/>
  <c r="AY110" i="5" s="1"/>
  <c r="AX377" i="5"/>
  <c r="AY377" i="5" s="1"/>
  <c r="AX217" i="5"/>
  <c r="AY217" i="5" s="1"/>
  <c r="AX228" i="5"/>
  <c r="AY228" i="5" s="1"/>
  <c r="AX98" i="5"/>
  <c r="AY98" i="5" s="1"/>
  <c r="AX492" i="5"/>
  <c r="AY492" i="5" s="1"/>
  <c r="AX501" i="5"/>
  <c r="AY501" i="5" s="1"/>
  <c r="AX496" i="5"/>
  <c r="AY496" i="5" s="1"/>
  <c r="AX74" i="5"/>
  <c r="AY74" i="5" s="1"/>
  <c r="AX167" i="5"/>
  <c r="AY167" i="5" s="1"/>
  <c r="AX405" i="5"/>
  <c r="AY405" i="5" s="1"/>
  <c r="AX131" i="5"/>
  <c r="AY131" i="5" s="1"/>
  <c r="AX387" i="5"/>
  <c r="AY387" i="5" s="1"/>
  <c r="AX65" i="5"/>
  <c r="AY65" i="5" s="1"/>
  <c r="AX400" i="5"/>
  <c r="AY400" i="5" s="1"/>
  <c r="AX156" i="5"/>
  <c r="AY156" i="5" s="1"/>
  <c r="AX64" i="5"/>
  <c r="AY64" i="5" s="1"/>
  <c r="AX409" i="5"/>
  <c r="AY409" i="5" s="1"/>
  <c r="AX196" i="5"/>
  <c r="AY196" i="5" s="1"/>
  <c r="AX473" i="5"/>
  <c r="AY473" i="5" s="1"/>
  <c r="AX528" i="5"/>
  <c r="AY528" i="5" s="1"/>
  <c r="AO133" i="4"/>
  <c r="AR133" i="4" s="1"/>
  <c r="AT133" i="4" s="1"/>
  <c r="AX291" i="5"/>
  <c r="AY291" i="5" s="1"/>
  <c r="AX527" i="5"/>
  <c r="AY527" i="5" s="1"/>
  <c r="AR12" i="4"/>
  <c r="AT12" i="4" s="1"/>
  <c r="AX320" i="5"/>
  <c r="AY320" i="5" s="1"/>
  <c r="AX271" i="5"/>
  <c r="AY271" i="5" s="1"/>
  <c r="AX558" i="5"/>
  <c r="AY558" i="5" s="1"/>
  <c r="AX249" i="5"/>
  <c r="AY249" i="5" s="1"/>
  <c r="AX510" i="5"/>
  <c r="AY510" i="5" s="1"/>
  <c r="AX322" i="5"/>
  <c r="AY322" i="5" s="1"/>
  <c r="AG26" i="4"/>
  <c r="AI26" i="4" s="1"/>
  <c r="AO26" i="4"/>
  <c r="AX340" i="5"/>
  <c r="AY340" i="5" s="1"/>
  <c r="AX298" i="5"/>
  <c r="AY298" i="5" s="1"/>
  <c r="AK155" i="4"/>
  <c r="AA130" i="4"/>
  <c r="AC130" i="4" s="1"/>
  <c r="AD130" i="4" s="1"/>
  <c r="AA144" i="4"/>
  <c r="AC144" i="4" s="1"/>
  <c r="AD144" i="4" s="1"/>
  <c r="AA155" i="4"/>
  <c r="AC155" i="4" s="1"/>
  <c r="AD155" i="4" s="1"/>
  <c r="AX235" i="5"/>
  <c r="AY235" i="5" s="1"/>
  <c r="AX292" i="5"/>
  <c r="AY292" i="5" s="1"/>
  <c r="AX486" i="5"/>
  <c r="AY486" i="5" s="1"/>
  <c r="AX497" i="5"/>
  <c r="AY497" i="5" s="1"/>
  <c r="AX457" i="5"/>
  <c r="AY457" i="5" s="1"/>
  <c r="AR84" i="4"/>
  <c r="AT84" i="4" s="1"/>
  <c r="AR79" i="4"/>
  <c r="AT79" i="4" s="1"/>
  <c r="AK144" i="4"/>
  <c r="AX325" i="5"/>
  <c r="AY325" i="5" s="1"/>
  <c r="AG130" i="4"/>
  <c r="AI130" i="4" s="1"/>
  <c r="AO130" i="4"/>
  <c r="AO62" i="4"/>
  <c r="AG62" i="4"/>
  <c r="AI62" i="4" s="1"/>
  <c r="AG10" i="4"/>
  <c r="AI10" i="4" s="1"/>
  <c r="AO10" i="4"/>
  <c r="AK141" i="4"/>
  <c r="AF141" i="4"/>
  <c r="AO101" i="4"/>
  <c r="AG101" i="4"/>
  <c r="AI101" i="4" s="1"/>
  <c r="AG144" i="4"/>
  <c r="AI144" i="4" s="1"/>
  <c r="AO144" i="4"/>
  <c r="AG94" i="4"/>
  <c r="AI94" i="4" s="1"/>
  <c r="AO94" i="4"/>
  <c r="AO58" i="4"/>
  <c r="AG58" i="4"/>
  <c r="AI58" i="4" s="1"/>
  <c r="AK130" i="4"/>
  <c r="AR132" i="4"/>
  <c r="AT132" i="4" s="1"/>
  <c r="AG24" i="4"/>
  <c r="AI24" i="4" s="1"/>
  <c r="AO24" i="4"/>
  <c r="AR105" i="4"/>
  <c r="AT105" i="4" s="1"/>
  <c r="AO155" i="4"/>
  <c r="AG155" i="4"/>
  <c r="AI155" i="4" s="1"/>
  <c r="AR140" i="4"/>
  <c r="AT140" i="4" s="1"/>
  <c r="AG83" i="4"/>
  <c r="AI83" i="4" s="1"/>
  <c r="AO83" i="4"/>
  <c r="AG34" i="4"/>
  <c r="AI34" i="4" s="1"/>
  <c r="AO34" i="4"/>
  <c r="AG59" i="4"/>
  <c r="AI59" i="4" s="1"/>
  <c r="AO59" i="4"/>
  <c r="AG21" i="4"/>
  <c r="AI21" i="4" s="1"/>
  <c r="AO21" i="4"/>
  <c r="AX207" i="5"/>
  <c r="AY207" i="5" s="1"/>
  <c r="AX233" i="5"/>
  <c r="AY233" i="5" s="1"/>
  <c r="AR76" i="4"/>
  <c r="AT76" i="4" s="1"/>
  <c r="AX549" i="5"/>
  <c r="AY549" i="5" s="1"/>
  <c r="AX195" i="5"/>
  <c r="AY195" i="5" s="1"/>
  <c r="AX546" i="5"/>
  <c r="AY546" i="5" s="1"/>
  <c r="AX442" i="5"/>
  <c r="AY442" i="5" s="1"/>
  <c r="AR86" i="4"/>
  <c r="AT86" i="4" s="1"/>
  <c r="AR8" i="4"/>
  <c r="AT8" i="4" s="1"/>
  <c r="AR54" i="4"/>
  <c r="AT54" i="4" s="1"/>
  <c r="AX352" i="5"/>
  <c r="AY352" i="5" s="1"/>
  <c r="AX422" i="5"/>
  <c r="AY422" i="5" s="1"/>
  <c r="AX51" i="5"/>
  <c r="AY51" i="5" s="1"/>
  <c r="AX545" i="5"/>
  <c r="AY545" i="5" s="1"/>
  <c r="AX534" i="5"/>
  <c r="AY534" i="5" s="1"/>
  <c r="AX419" i="5"/>
  <c r="AY419" i="5" s="1"/>
  <c r="AX190" i="5"/>
  <c r="AY190" i="5" s="1"/>
  <c r="AX55" i="5"/>
  <c r="AY55" i="5" s="1"/>
  <c r="AX541" i="5"/>
  <c r="AY541" i="5" s="1"/>
  <c r="AX526" i="5"/>
  <c r="AY526" i="5" s="1"/>
  <c r="AX246" i="5"/>
  <c r="AY246" i="5" s="1"/>
  <c r="AX357" i="5"/>
  <c r="AY357" i="5" s="1"/>
  <c r="AX95" i="5"/>
  <c r="AY95" i="5" s="1"/>
  <c r="AX124" i="5"/>
  <c r="AY124" i="5" s="1"/>
  <c r="AX106" i="5"/>
  <c r="AY106" i="5" s="1"/>
  <c r="AX164" i="5"/>
  <c r="AY164" i="5" s="1"/>
  <c r="AX61" i="5"/>
  <c r="AY61" i="5" s="1"/>
  <c r="AX171" i="5"/>
  <c r="AY171" i="5" s="1"/>
  <c r="AX154" i="5"/>
  <c r="AY154" i="5" s="1"/>
  <c r="AX152" i="5"/>
  <c r="AY152" i="5" s="1"/>
  <c r="AX27" i="5"/>
  <c r="AY27" i="5" s="1"/>
  <c r="AX516" i="5"/>
  <c r="AY516" i="5" s="1"/>
  <c r="AX227" i="5"/>
  <c r="AY227" i="5" s="1"/>
  <c r="AX88" i="5"/>
  <c r="AY88" i="5" s="1"/>
  <c r="AX519" i="5"/>
  <c r="AY519" i="5" s="1"/>
  <c r="AX366" i="5"/>
  <c r="AY366" i="5" s="1"/>
  <c r="AX242" i="5"/>
  <c r="AY242" i="5" s="1"/>
  <c r="AX189" i="5"/>
  <c r="AY189" i="5" s="1"/>
  <c r="AX441" i="5"/>
  <c r="AY441" i="5" s="1"/>
  <c r="B128" i="2"/>
  <c r="B134" i="2" s="1"/>
  <c r="AX50" i="5"/>
  <c r="AY50" i="5" s="1"/>
  <c r="AX40" i="5"/>
  <c r="AY40" i="5" s="1"/>
  <c r="AX29" i="5"/>
  <c r="AY29" i="5" s="1"/>
  <c r="AX414" i="5"/>
  <c r="AY414" i="5" s="1"/>
  <c r="AX155" i="5"/>
  <c r="AY155" i="5" s="1"/>
  <c r="AX334" i="5"/>
  <c r="AY334" i="5" s="1"/>
  <c r="AX430" i="5"/>
  <c r="AY430" i="5" s="1"/>
  <c r="K142" i="2"/>
  <c r="B131" i="2"/>
  <c r="B132" i="2" s="1"/>
  <c r="AR20" i="4"/>
  <c r="AT20" i="4" s="1"/>
  <c r="AX530" i="5"/>
  <c r="AY530" i="5" s="1"/>
  <c r="AR23" i="4"/>
  <c r="AT23" i="4" s="1"/>
  <c r="AR135" i="4"/>
  <c r="AT135" i="4" s="1"/>
  <c r="AR109" i="4"/>
  <c r="AT109" i="4" s="1"/>
  <c r="AR127" i="4"/>
  <c r="AT127" i="4" s="1"/>
  <c r="AR38" i="4"/>
  <c r="AT38" i="4" s="1"/>
  <c r="AR35" i="4"/>
  <c r="AT35" i="4" s="1"/>
  <c r="AR39" i="4"/>
  <c r="AT39" i="4" s="1"/>
  <c r="AR100" i="4"/>
  <c r="AT100" i="4" s="1"/>
  <c r="AR95" i="4"/>
  <c r="AT95" i="4" s="1"/>
  <c r="AR52" i="4"/>
  <c r="AT52" i="4" s="1"/>
  <c r="AR157" i="4"/>
  <c r="AT157" i="4" s="1"/>
  <c r="AR47" i="4"/>
  <c r="AT47" i="4" s="1"/>
  <c r="AR64" i="4"/>
  <c r="AT64" i="4" s="1"/>
  <c r="AR116" i="4"/>
  <c r="AT116" i="4" s="1"/>
  <c r="AR128" i="4"/>
  <c r="AT128" i="4" s="1"/>
  <c r="AR14" i="4"/>
  <c r="AT14" i="4" s="1"/>
  <c r="AR148" i="4"/>
  <c r="AT148" i="4" s="1"/>
  <c r="AR63" i="4"/>
  <c r="AT63" i="4" s="1"/>
  <c r="AR7" i="4"/>
  <c r="AT7" i="4" s="1"/>
  <c r="AR77" i="4"/>
  <c r="AT77" i="4" s="1"/>
  <c r="AR126" i="4"/>
  <c r="AT126" i="4" s="1"/>
  <c r="AR69" i="4"/>
  <c r="AT69" i="4" s="1"/>
  <c r="AR150" i="4"/>
  <c r="AT150" i="4" s="1"/>
  <c r="AR137" i="4"/>
  <c r="AT137" i="4" s="1"/>
  <c r="AR37" i="4"/>
  <c r="AT37" i="4" s="1"/>
  <c r="AR93" i="4"/>
  <c r="AT93" i="4" s="1"/>
  <c r="AR134" i="4"/>
  <c r="AT134" i="4" s="1"/>
  <c r="AR73" i="4"/>
  <c r="AT73" i="4" s="1"/>
  <c r="AR91" i="4"/>
  <c r="AT91" i="4" s="1"/>
  <c r="AR26" i="4" l="1"/>
  <c r="AT26" i="4" s="1"/>
  <c r="AR59" i="4"/>
  <c r="AT59" i="4" s="1"/>
  <c r="AR94" i="4"/>
  <c r="AT94" i="4" s="1"/>
  <c r="AR10" i="4"/>
  <c r="AT10" i="4" s="1"/>
  <c r="AR34" i="4"/>
  <c r="AT34" i="4" s="1"/>
  <c r="AR24" i="4"/>
  <c r="AT24" i="4" s="1"/>
  <c r="AR144" i="4"/>
  <c r="AT144" i="4" s="1"/>
  <c r="AR155" i="4"/>
  <c r="AT155" i="4" s="1"/>
  <c r="AR130" i="4"/>
  <c r="AT130" i="4" s="1"/>
  <c r="AR21" i="4"/>
  <c r="AT21" i="4" s="1"/>
  <c r="AG141" i="4"/>
  <c r="AI141" i="4" s="1"/>
  <c r="AO141" i="4"/>
  <c r="AR58" i="4"/>
  <c r="AT58" i="4" s="1"/>
  <c r="AR62" i="4"/>
  <c r="AT62" i="4" s="1"/>
  <c r="AR83" i="4"/>
  <c r="AT83" i="4" s="1"/>
  <c r="AR101" i="4"/>
  <c r="AT101" i="4" s="1"/>
  <c r="AY14" i="5"/>
  <c r="D69" i="5" s="1"/>
  <c r="B69" i="5" s="1"/>
  <c r="A69" i="5" s="1"/>
  <c r="L68" i="1" s="1"/>
  <c r="K136" i="2"/>
  <c r="B136" i="2" s="1"/>
  <c r="H31" i="1" s="1"/>
  <c r="AY12" i="5"/>
  <c r="D68" i="5" s="1"/>
  <c r="B68" i="5" s="1"/>
  <c r="A68" i="5" s="1"/>
  <c r="L67" i="1" s="1"/>
  <c r="B135" i="2"/>
  <c r="H30" i="1" s="1"/>
  <c r="AR141" i="4" l="1"/>
  <c r="AT14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Schauer, Stefan</author>
  </authors>
  <commentList>
    <comment ref="A3" authorId="0" shapeId="0" xr:uid="{00000000-0006-0000-0000-000001000000}">
      <text>
        <r>
          <rPr>
            <b/>
            <sz val="11"/>
            <color indexed="10"/>
            <rFont val="Tahoma"/>
            <family val="2"/>
          </rPr>
          <t>Welcome to the LM5155 Design Tool</t>
        </r>
        <r>
          <rPr>
            <sz val="9"/>
            <color indexed="81"/>
            <rFont val="Tahoma"/>
            <family val="2"/>
          </rPr>
          <t xml:space="preserve">
This stand-alone tool facilitates and assists the power supply engineer with design of a DC-DC boost converter based on the LM5155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Note: When not using an english Excel version and a #name error is displayed after change a value try pressing Shift+ALT+CTRL+F9 and change the value again.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G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LM5155 BIAS pin voltage operating range is 3.5V to 45V.
The LM5156 BIAS pin voltage operating range is 3.5V to 60V.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52"/>
            <rFont val="Tahoma"/>
            <family val="2"/>
          </rPr>
          <t>The text in the cell is flagged orange if:</t>
        </r>
        <r>
          <rPr>
            <b/>
            <sz val="9"/>
            <color indexed="81"/>
            <rFont val="Tahoma"/>
            <family val="2"/>
          </rPr>
          <t xml:space="preserve">
</t>
        </r>
        <r>
          <rPr>
            <sz val="9"/>
            <color indexed="81"/>
            <rFont val="Tahoma"/>
            <family val="2"/>
          </rPr>
          <t>-The input voltage is above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60V
-The input voltage is below 1.5V</t>
        </r>
      </text>
    </comment>
    <comment ref="G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sz val="9"/>
            <color indexed="81"/>
            <rFont val="Tahoma"/>
            <family val="2"/>
          </rPr>
          <t xml:space="preserve">The LM5156 input voltage operating range is 1.5V to 60V.
</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G9" authorId="0" shapeId="0" xr:uid="{00000000-0006-0000-0000-000005000000}">
      <text>
        <r>
          <rPr>
            <b/>
            <sz val="9"/>
            <color indexed="81"/>
            <rFont val="Tahoma"/>
            <family val="2"/>
          </rPr>
          <t>Maximum Input Voltage:</t>
        </r>
        <r>
          <rPr>
            <sz val="9"/>
            <color indexed="81"/>
            <rFont val="Tahoma"/>
            <family val="2"/>
          </rPr>
          <t xml:space="preserve">
Enter the maximum operating input voltage.
The LM5155 input voltage operating range is 1.5V to 45V.
The LM5156 input voltage operating range is 1.5V to 60V.
</t>
        </r>
        <r>
          <rPr>
            <b/>
            <sz val="9"/>
            <color indexed="10"/>
            <rFont val="Tahoma"/>
            <family val="2"/>
          </rPr>
          <t xml:space="preserve">
</t>
        </r>
        <r>
          <rPr>
            <b/>
            <sz val="9"/>
            <color indexed="52"/>
            <rFont val="Tahoma"/>
            <family val="2"/>
          </rPr>
          <t>The text in the cell is flagged orange if:</t>
        </r>
        <r>
          <rPr>
            <b/>
            <sz val="9"/>
            <color indexed="10"/>
            <rFont val="Tahoma"/>
            <family val="2"/>
          </rPr>
          <t xml:space="preserve">
</t>
        </r>
        <r>
          <rPr>
            <sz val="9"/>
            <color indexed="81"/>
            <rFont val="Tahoma"/>
            <family val="2"/>
          </rPr>
          <t>-The input voltage is above 45V</t>
        </r>
        <r>
          <rPr>
            <b/>
            <sz val="9"/>
            <color indexed="10"/>
            <rFont val="Tahoma"/>
            <family val="2"/>
          </rPr>
          <t xml:space="preserve">
The text in the cell is flagged red if:</t>
        </r>
        <r>
          <rPr>
            <sz val="9"/>
            <color indexed="81"/>
            <rFont val="Tahoma"/>
            <family val="2"/>
          </rPr>
          <t xml:space="preserve">
-The input voltage is above 60V
-The input voltage is below 1.5V
</t>
        </r>
      </text>
    </comment>
    <comment ref="G10" authorId="0" shapeId="0" xr:uid="{00000000-0006-0000-0000-000006000000}">
      <text>
        <r>
          <rPr>
            <b/>
            <sz val="9"/>
            <color indexed="81"/>
            <rFont val="Tahoma"/>
            <family val="2"/>
          </rPr>
          <t>Output Voltage:</t>
        </r>
        <r>
          <rPr>
            <sz val="9"/>
            <color indexed="81"/>
            <rFont val="Tahoma"/>
            <family val="2"/>
          </rPr>
          <t xml:space="preserve">
Enter the desired output voltage.
</t>
        </r>
      </text>
    </comment>
    <comment ref="G12" authorId="0" shapeId="0" xr:uid="{00000000-0006-0000-0000-000007000000}">
      <text>
        <r>
          <rPr>
            <b/>
            <sz val="9"/>
            <color indexed="81"/>
            <rFont val="Tahoma"/>
            <family val="2"/>
          </rPr>
          <t>Operating Frequency (set by RT):</t>
        </r>
        <r>
          <rPr>
            <sz val="9"/>
            <color indexed="81"/>
            <rFont val="Tahoma"/>
            <family val="2"/>
          </rPr>
          <t xml:space="preserve">
This cell defines the free-running switching frequency set by the RT resistor. 
</t>
        </r>
        <r>
          <rPr>
            <sz val="11"/>
            <color indexed="10"/>
            <rFont val="Calibri"/>
            <family val="2"/>
            <scheme val="minor"/>
          </rPr>
          <t>The text in the cell is flagged red if:</t>
        </r>
        <r>
          <rPr>
            <sz val="9"/>
            <color indexed="81"/>
            <rFont val="Tahoma"/>
            <family val="2"/>
          </rPr>
          <t xml:space="preserve">
-The frequency is below 100 kHz
-The frequency is above 2.2 MHz</t>
        </r>
      </text>
    </comment>
    <comment ref="G14" authorId="0" shapeId="0" xr:uid="{00000000-0006-0000-0000-000008000000}">
      <text>
        <r>
          <rPr>
            <b/>
            <sz val="9"/>
            <color indexed="81"/>
            <rFont val="Tahoma"/>
            <family val="2"/>
          </rPr>
          <t xml:space="preserve">Estimated Efficiency
</t>
        </r>
        <r>
          <rPr>
            <sz val="9"/>
            <color indexed="81"/>
            <rFont val="Tahoma"/>
            <family val="2"/>
          </rPr>
          <t>A good estimate at full load current and Vsupply(min) is around the 90% to 93% range</t>
        </r>
      </text>
    </comment>
    <comment ref="G16" authorId="0" shapeId="0" xr:uid="{00000000-0006-0000-0000-000009000000}">
      <text>
        <r>
          <rPr>
            <b/>
            <sz val="9"/>
            <color indexed="81"/>
            <rFont val="Tahoma"/>
            <family val="2"/>
          </rPr>
          <t xml:space="preserve">Maximum duty cycle
</t>
        </r>
        <r>
          <rPr>
            <sz val="9"/>
            <color indexed="81"/>
            <rFont val="Tahoma"/>
            <family val="2"/>
          </rPr>
          <t xml:space="preserve">Limit of the LM5155. See the datasheet for more detail on how the maximum duty cycle changes with switching frequency
</t>
        </r>
      </text>
    </comment>
    <comment ref="G17" authorId="1" shapeId="0" xr:uid="{08B8E066-477C-411E-B516-1DCAD11E8DA9}">
      <text>
        <r>
          <rPr>
            <b/>
            <sz val="9"/>
            <color indexed="81"/>
            <rFont val="Tahoma"/>
            <family val="2"/>
          </rPr>
          <t xml:space="preserve">Ideal Duty Cycle at Vsupply(MIN):
</t>
        </r>
        <r>
          <rPr>
            <sz val="9"/>
            <color indexed="81"/>
            <rFont val="Tahoma"/>
            <family val="2"/>
          </rPr>
          <t xml:space="preserve">
Calculated with  1- (VIN_min/VOUT). 
</t>
        </r>
        <r>
          <rPr>
            <b/>
            <sz val="9"/>
            <color indexed="10"/>
            <rFont val="Tahoma"/>
            <family val="2"/>
          </rPr>
          <t xml:space="preserve">The text in the cell is flagged red if:
</t>
        </r>
        <r>
          <rPr>
            <sz val="9"/>
            <color indexed="81"/>
            <rFont val="Tahoma"/>
            <family val="2"/>
          </rPr>
          <t xml:space="preserve">- The duty cycle is above the Limit value (in the cell above)
  Based on the limits given in the datasheet
</t>
        </r>
      </text>
    </comment>
    <comment ref="G18" authorId="1" shapeId="0" xr:uid="{74A21C24-1F16-4017-9418-3CDE4814AE31}">
      <text>
        <r>
          <rPr>
            <b/>
            <sz val="9"/>
            <color indexed="81"/>
            <rFont val="Tahoma"/>
            <family val="2"/>
          </rPr>
          <t xml:space="preserve">Select the Operation mode:
</t>
        </r>
        <r>
          <rPr>
            <sz val="9"/>
            <color indexed="81"/>
            <rFont val="Tahoma"/>
            <family val="2"/>
          </rPr>
          <t xml:space="preserve">Select the operation mode at maximum load:
CCM: Continious Contuction Mode
DCM: Discontinious Contuction Mode
</t>
        </r>
      </text>
    </comment>
    <comment ref="G21" authorId="0" shapeId="0" xr:uid="{00000000-0006-0000-0000-00000A000000}">
      <text>
        <r>
          <rPr>
            <b/>
            <sz val="9"/>
            <color indexed="81"/>
            <rFont val="Tahoma"/>
            <family val="2"/>
          </rPr>
          <t>Ripple Ratio</t>
        </r>
        <r>
          <rPr>
            <sz val="9"/>
            <color indexed="81"/>
            <rFont val="Tahoma"/>
            <family val="2"/>
          </rPr>
          <t xml:space="preserve">
Select the maximum ripple ratio of the inductor current. The maximum ripple ratio occurs when the duty cycle is 33%. 
Typically a good maximum ripple current is in the 50% to 70% range. In this range there is a good trade off between efficiency and the minimum RHP zero frequency of the plant</t>
        </r>
      </text>
    </comment>
    <comment ref="G23" authorId="0" shapeId="0" xr:uid="{00000000-0006-0000-0000-00000B000000}">
      <text>
        <r>
          <rPr>
            <b/>
            <sz val="9"/>
            <color indexed="81"/>
            <rFont val="Tahoma"/>
            <family val="2"/>
          </rPr>
          <t xml:space="preserve">Filter Inductance:
</t>
        </r>
        <r>
          <rPr>
            <sz val="9"/>
            <color indexed="81"/>
            <rFont val="Tahoma"/>
            <family val="2"/>
          </rPr>
          <t xml:space="preserve">Enter the filter inductance here.
</t>
        </r>
        <r>
          <rPr>
            <b/>
            <sz val="9"/>
            <color indexed="10"/>
            <rFont val="Tahoma"/>
            <family val="2"/>
          </rPr>
          <t xml:space="preserve">The text in the cell is flagged red if:
</t>
        </r>
        <r>
          <rPr>
            <sz val="9"/>
            <color indexed="81"/>
            <rFont val="Tahoma"/>
            <family val="2"/>
          </rPr>
          <t xml:space="preserve">The selected inductance will not be supported the above set operation mode at maximum load.
(Checked only at the 3 given Supply Voltages (Min/Nom/Max).
</t>
        </r>
      </text>
    </comment>
    <comment ref="G24" authorId="0" shapeId="0" xr:uid="{00000000-0006-0000-0000-00000C000000}">
      <text>
        <r>
          <rPr>
            <b/>
            <sz val="9"/>
            <color indexed="81"/>
            <rFont val="Tahoma"/>
            <family val="2"/>
          </rPr>
          <t xml:space="preserve">Inductor DCR:
</t>
        </r>
        <r>
          <rPr>
            <sz val="9"/>
            <color indexed="81"/>
            <rFont val="Tahoma"/>
            <family val="2"/>
          </rPr>
          <t xml:space="preserve">Enter the inductor DC resistance here. This is typically specified in the inductor datasheet at 25°C copper temperature.
</t>
        </r>
      </text>
    </comment>
    <comment ref="G25" authorId="0" shapeId="0" xr:uid="{00000000-0006-0000-0000-00000D000000}">
      <text>
        <r>
          <rPr>
            <b/>
            <sz val="9"/>
            <color indexed="81"/>
            <rFont val="Tahoma"/>
            <family val="2"/>
          </rPr>
          <t>Peak Inductor Current</t>
        </r>
        <r>
          <rPr>
            <sz val="9"/>
            <color indexed="81"/>
            <rFont val="Tahoma"/>
            <family val="2"/>
          </rPr>
          <t xml:space="preserve">
Maximum peak inductor current during normal operation.  The peak current limit calculations are based on this value</t>
        </r>
      </text>
    </comment>
    <comment ref="G28" authorId="0" shapeId="0" xr:uid="{00000000-0006-0000-0000-00000E000000}">
      <text>
        <r>
          <rPr>
            <b/>
            <sz val="9"/>
            <color indexed="81"/>
            <rFont val="Tahoma"/>
            <family val="2"/>
          </rPr>
          <t>Peak Current Limit Margin</t>
        </r>
        <r>
          <rPr>
            <sz val="9"/>
            <color indexed="81"/>
            <rFont val="Tahoma"/>
            <family val="2"/>
          </rPr>
          <t xml:space="preserve">
Margin above the calculated peak inductor current. Margin must be given to allow for load transients and component tolerances.
Value should be higher then 15% to avoid false triggers.
The recommended value from the Datasheet is 20%.</t>
        </r>
      </text>
    </comment>
    <comment ref="G29" authorId="0" shapeId="0" xr:uid="{00000000-0006-0000-0000-00000F000000}">
      <text>
        <r>
          <rPr>
            <b/>
            <sz val="9"/>
            <color indexed="81"/>
            <rFont val="Tahoma"/>
            <family val="2"/>
          </rPr>
          <t xml:space="preserve">Selected Peak Inductor Current Limt
</t>
        </r>
        <r>
          <rPr>
            <sz val="9"/>
            <color indexed="81"/>
            <rFont val="Tahoma"/>
            <family val="2"/>
          </rPr>
          <t xml:space="preserve">
Peak inductor current limit based on the margin and the steady state peak inductor current at V</t>
        </r>
        <r>
          <rPr>
            <vertAlign val="subscript"/>
            <sz val="9"/>
            <color indexed="81"/>
            <rFont val="Tahoma"/>
            <family val="2"/>
          </rPr>
          <t>IN_MIN</t>
        </r>
        <r>
          <rPr>
            <sz val="9"/>
            <color indexed="81"/>
            <rFont val="Tahoma"/>
            <family val="2"/>
          </rPr>
          <t xml:space="preserve"> and maximum output current</t>
        </r>
      </text>
    </comment>
    <comment ref="G30" authorId="0" shapeId="0" xr:uid="{00000000-0006-0000-0000-000010000000}">
      <text>
        <r>
          <rPr>
            <b/>
            <sz val="9"/>
            <color indexed="81"/>
            <rFont val="Tahoma"/>
            <family val="2"/>
          </rPr>
          <t>Current Sense Resistor Calculation</t>
        </r>
        <r>
          <rPr>
            <sz val="9"/>
            <color indexed="81"/>
            <rFont val="Tahoma"/>
            <family val="2"/>
          </rPr>
          <t xml:space="preserve">
Calculated current sense resistor based on the desired maximum peak current limit. 
</t>
        </r>
      </text>
    </comment>
    <comment ref="G31" authorId="0" shapeId="0" xr:uid="{00000000-0006-0000-0000-000011000000}">
      <text>
        <r>
          <rPr>
            <b/>
            <sz val="9"/>
            <color indexed="81"/>
            <rFont val="Tahoma"/>
            <family val="2"/>
          </rPr>
          <t>Calculated External Slope Compensation Resistor</t>
        </r>
        <r>
          <rPr>
            <sz val="9"/>
            <color indexed="81"/>
            <rFont val="Tahoma"/>
            <family val="2"/>
          </rPr>
          <t xml:space="preserve">
Calculated external slope compensation resistor based on the desired maximum peak current limit. 
</t>
        </r>
      </text>
    </comment>
    <comment ref="G35" authorId="0" shapeId="0" xr:uid="{00000000-0006-0000-0000-000013000000}">
      <text>
        <r>
          <rPr>
            <b/>
            <sz val="9"/>
            <color indexed="81"/>
            <rFont val="Tahoma"/>
            <family val="2"/>
          </rPr>
          <t>The saturation current of the inductor must be higher than the peak inductor current limint. 
Recommended Margin is ~15%</t>
        </r>
      </text>
    </comment>
    <comment ref="G38" authorId="1" shapeId="0" xr:uid="{34A1C02D-A92A-4231-935A-D27CE25D0CCD}">
      <text>
        <r>
          <rPr>
            <b/>
            <sz val="9"/>
            <color indexed="81"/>
            <rFont val="Tahoma"/>
            <family val="2"/>
          </rPr>
          <t xml:space="preserve">Peak to Peak Voltage Ripple
</t>
        </r>
        <r>
          <rPr>
            <sz val="9"/>
            <color indexed="81"/>
            <rFont val="Tahoma"/>
            <family val="2"/>
          </rPr>
          <t>Desired output voltage transient for 50% load to 100% load step.</t>
        </r>
      </text>
    </comment>
    <comment ref="G45" authorId="1" shapeId="0" xr:uid="{27BE2E58-6B05-4EB2-ACEC-FABDB0D92520}">
      <text>
        <r>
          <rPr>
            <b/>
            <sz val="9"/>
            <color indexed="81"/>
            <rFont val="Tahoma"/>
            <family val="2"/>
          </rPr>
          <t xml:space="preserve">Suggested min. Softstart Capacitor
</t>
        </r>
        <r>
          <rPr>
            <sz val="9"/>
            <color indexed="81"/>
            <rFont val="Tahoma"/>
            <family val="2"/>
          </rPr>
          <t xml:space="preserve">
The suggested min. Softstart Capacitor is set to avoid overshoot of the output voltage.
It is based on the Load Current and Output Capacitor.
</t>
        </r>
      </text>
    </comment>
    <comment ref="G57" authorId="0" shapeId="0" xr:uid="{00000000-0006-0000-0000-000014000000}">
      <text>
        <r>
          <rPr>
            <b/>
            <sz val="9"/>
            <color indexed="81"/>
            <rFont val="Tahoma"/>
            <family val="2"/>
          </rPr>
          <t xml:space="preserve">Changes the input voltage value. Allow for evaluation of the control loop and efficiency at different input voltages.
</t>
        </r>
        <r>
          <rPr>
            <b/>
            <sz val="9"/>
            <color indexed="10"/>
            <rFont val="Tahoma"/>
            <family val="2"/>
          </rPr>
          <t>The text in the cell is flagged red if:
-The variable input voltage is less than the minimum input voltage
-The variable input voltage is greater than the maximum input voltage</t>
        </r>
      </text>
    </comment>
    <comment ref="G62" authorId="1" shapeId="0" xr:uid="{CAA0D2B2-1619-4A36-A8E5-8EF89AE0C27B}">
      <text>
        <r>
          <rPr>
            <b/>
            <sz val="9"/>
            <color indexed="81"/>
            <rFont val="Tahoma"/>
            <family val="2"/>
          </rPr>
          <t>Select Bottomresistor R</t>
        </r>
        <r>
          <rPr>
            <b/>
            <sz val="8"/>
            <color indexed="81"/>
            <rFont val="Tahoma"/>
            <family val="2"/>
          </rPr>
          <t>FBB</t>
        </r>
        <r>
          <rPr>
            <b/>
            <sz val="9"/>
            <color indexed="81"/>
            <rFont val="Tahoma"/>
            <family val="2"/>
          </rPr>
          <t xml:space="preserve">
</t>
        </r>
        <r>
          <rPr>
            <sz val="9"/>
            <color indexed="81"/>
            <rFont val="Tahoma"/>
            <family val="2"/>
          </rPr>
          <t xml:space="preserve">
Select the closes value to the calculated bottom feedback resistor based on the used standard resistor series (e.g. E48).</t>
        </r>
      </text>
    </comment>
    <comment ref="F69" authorId="1" shapeId="0" xr:uid="{CA3EAB78-A137-4F5E-A063-15FB6763AD4F}">
      <text>
        <r>
          <rPr>
            <b/>
            <sz val="9"/>
            <color indexed="81"/>
            <rFont val="Tahoma"/>
            <family val="2"/>
          </rPr>
          <t xml:space="preserve">Calculated Loop Comenstation Values:
</t>
        </r>
        <r>
          <rPr>
            <sz val="9"/>
            <color indexed="81"/>
            <rFont val="Tahoma"/>
            <family val="2"/>
          </rPr>
          <t xml:space="preserve">The calculation of this loop compensation values are based on the selected bandwidth (Fco) and the minimum input Voltage Vin.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21" authorId="0" shapeId="0" xr:uid="{00000000-0006-0000-0100-000001000000}">
      <text>
        <r>
          <rPr>
            <b/>
            <sz val="9"/>
            <color indexed="81"/>
            <rFont val="Tahoma"/>
            <family val="2"/>
          </rPr>
          <t>Forced off time limit? 
[2 True, 1 False]</t>
        </r>
        <r>
          <rPr>
            <sz val="9"/>
            <color indexed="81"/>
            <rFont val="Tahoma"/>
            <family val="2"/>
          </rPr>
          <t xml:space="preserve">
</t>
        </r>
      </text>
    </comment>
    <comment ref="K141" authorId="0" shapeId="0" xr:uid="{00000000-0006-0000-0100-000002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42" authorId="0" shapeId="0" xr:uid="{00000000-0006-0000-0100-000003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sharedStrings.xml><?xml version="1.0" encoding="utf-8"?>
<sst xmlns="http://schemas.openxmlformats.org/spreadsheetml/2006/main" count="987" uniqueCount="582">
  <si>
    <t>TERMS OF USE</t>
  </si>
  <si>
    <t>ABOUT</t>
  </si>
  <si>
    <t>=Input Box</t>
  </si>
  <si>
    <t>Step 1: Design Specifications</t>
  </si>
  <si>
    <r>
      <t>Minimum Input Supply Voltage , V</t>
    </r>
    <r>
      <rPr>
        <vertAlign val="subscript"/>
        <sz val="10"/>
        <color theme="1"/>
        <rFont val="Calibri"/>
        <family val="2"/>
        <scheme val="minor"/>
      </rPr>
      <t>SUPPLY(min)</t>
    </r>
    <r>
      <rPr>
        <sz val="10"/>
        <color theme="1"/>
        <rFont val="Calibri"/>
        <family val="2"/>
        <scheme val="minor"/>
      </rPr>
      <t xml:space="preserve"> </t>
    </r>
  </si>
  <si>
    <r>
      <t>Typical Input Supply Voltage, V</t>
    </r>
    <r>
      <rPr>
        <vertAlign val="subscript"/>
        <sz val="10"/>
        <color theme="1"/>
        <rFont val="Calibri"/>
        <family val="2"/>
        <scheme val="minor"/>
      </rPr>
      <t>SUPPLY(typ)</t>
    </r>
    <r>
      <rPr>
        <sz val="10"/>
        <color theme="1"/>
        <rFont val="Calibri"/>
        <family val="2"/>
        <scheme val="minor"/>
      </rPr>
      <t xml:space="preserve"> </t>
    </r>
  </si>
  <si>
    <r>
      <t>Maximum Input Supply Voltage , V</t>
    </r>
    <r>
      <rPr>
        <vertAlign val="subscript"/>
        <sz val="10"/>
        <color theme="1"/>
        <rFont val="Calibri"/>
        <family val="2"/>
        <scheme val="minor"/>
      </rPr>
      <t>SUPPLY(max)</t>
    </r>
    <r>
      <rPr>
        <sz val="10"/>
        <color theme="1"/>
        <rFont val="Calibri"/>
        <family val="2"/>
        <scheme val="minor"/>
      </rPr>
      <t xml:space="preserve"> </t>
    </r>
  </si>
  <si>
    <r>
      <t>Maximum Output Current , I</t>
    </r>
    <r>
      <rPr>
        <vertAlign val="subscript"/>
        <sz val="10"/>
        <color theme="1"/>
        <rFont val="Calibri"/>
        <family val="2"/>
        <scheme val="minor"/>
      </rPr>
      <t>LOAD</t>
    </r>
    <r>
      <rPr>
        <sz val="10"/>
        <color theme="1"/>
        <rFont val="Calibri"/>
        <family val="2"/>
        <scheme val="minor"/>
      </rPr>
      <t xml:space="preserve"> </t>
    </r>
  </si>
  <si>
    <r>
      <t>Free Running Switching Frequency, F</t>
    </r>
    <r>
      <rPr>
        <vertAlign val="subscript"/>
        <sz val="10"/>
        <color theme="1"/>
        <rFont val="Calibri"/>
        <family val="2"/>
        <scheme val="minor"/>
      </rPr>
      <t>SW</t>
    </r>
  </si>
  <si>
    <t>Estimated Efficiency</t>
  </si>
  <si>
    <t>V</t>
  </si>
  <si>
    <t>A</t>
  </si>
  <si>
    <t>kHz</t>
  </si>
  <si>
    <t>%</t>
  </si>
  <si>
    <r>
      <t>Output Power, P</t>
    </r>
    <r>
      <rPr>
        <vertAlign val="subscript"/>
        <sz val="10"/>
        <color theme="1"/>
        <rFont val="Calibri"/>
        <family val="2"/>
        <scheme val="minor"/>
      </rPr>
      <t>OUT</t>
    </r>
    <r>
      <rPr>
        <sz val="10"/>
        <color theme="1"/>
        <rFont val="Calibri"/>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</si>
  <si>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</si>
  <si>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</si>
  <si>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</si>
  <si>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</si>
  <si>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</si>
  <si>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</si>
  <si>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</si>
  <si>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</si>
  <si>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</si>
  <si>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</si>
  <si>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</si>
  <si>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</si>
  <si>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</si>
  <si>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</si>
  <si>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</si>
  <si>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</si>
  <si>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</si>
  <si>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Target Output Voltage</t>
  </si>
  <si>
    <t>IOUT</t>
  </si>
  <si>
    <t>Maximum Output current</t>
  </si>
  <si>
    <t>ROUT</t>
  </si>
  <si>
    <t>Ω</t>
  </si>
  <si>
    <t>POUT</t>
  </si>
  <si>
    <t>W</t>
  </si>
  <si>
    <t>EFF_est</t>
  </si>
  <si>
    <t>Estimated efficiency</t>
  </si>
  <si>
    <t>Total output power</t>
  </si>
  <si>
    <t>Minimum load resistance</t>
  </si>
  <si>
    <t>Dc_max_ideal</t>
  </si>
  <si>
    <t>Maximum duty cycle at the minimum input voltage</t>
  </si>
  <si>
    <t>Dc_max_IC</t>
  </si>
  <si>
    <t>Maximum IC duty cycle. Based on the forced off time. See Mathcad Calculations</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</si>
  <si>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</si>
  <si>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</si>
  <si>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</si>
  <si>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</si>
  <si>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</si>
  <si>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</si>
  <si>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</si>
  <si>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</si>
  <si>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</si>
  <si>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</si>
  <si>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</si>
  <si>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</si>
  <si>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</si>
  <si>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</si>
  <si>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</si>
  <si>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</si>
  <si>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 xml:space="preserve">Base Calculations of </t>
  </si>
  <si>
    <t>Spec conditions</t>
  </si>
  <si>
    <t>Min max duty cycle at low frequency</t>
  </si>
  <si>
    <t>Maximum max duty cycle at low frequency</t>
  </si>
  <si>
    <t>Nominal right now</t>
  </si>
  <si>
    <t>Fsw</t>
  </si>
  <si>
    <t>Hz</t>
  </si>
  <si>
    <t xml:space="preserve">Switching frequnecy </t>
  </si>
  <si>
    <t>Flag</t>
  </si>
  <si>
    <t>Forced off time limit? [2 True, 1 False]</t>
  </si>
  <si>
    <t>RT</t>
  </si>
  <si>
    <t>Oscillator Set resistor. Based on the datasheet equation</t>
  </si>
  <si>
    <r>
      <t>Free running Oscillator Set Resistor, R</t>
    </r>
    <r>
      <rPr>
        <vertAlign val="subscript"/>
        <sz val="10"/>
        <color theme="1"/>
        <rFont val="Calibri"/>
        <family val="2"/>
        <scheme val="minor"/>
      </rPr>
      <t>T</t>
    </r>
  </si>
  <si>
    <r>
      <t>k</t>
    </r>
    <r>
      <rPr>
        <sz val="11"/>
        <color theme="1"/>
        <rFont val="Calibri"/>
        <family val="2"/>
      </rPr>
      <t>Ω</t>
    </r>
  </si>
  <si>
    <t>Step 2: Filter Inductor</t>
  </si>
  <si>
    <t>Dc_Limit</t>
  </si>
  <si>
    <t>Max duty cycle of LM5155 at Fsw</t>
  </si>
  <si>
    <t>EXCEL Constants / Values / IC Limits</t>
  </si>
  <si>
    <r>
      <t>Max Inductor DCR, R</t>
    </r>
    <r>
      <rPr>
        <vertAlign val="subscript"/>
        <sz val="10"/>
        <color theme="1"/>
        <rFont val="Calibri"/>
        <family val="2"/>
        <scheme val="minor"/>
      </rPr>
      <t>DCR</t>
    </r>
  </si>
  <si>
    <t>Dc_VIN_min</t>
  </si>
  <si>
    <t>Dc_VIN_nom</t>
  </si>
  <si>
    <t>Dc_VIN_max</t>
  </si>
  <si>
    <t>Duty cycle at the mimum input voltage (CCM)</t>
  </si>
  <si>
    <t>Duty cycle at the nominal input voltage (CCM)</t>
  </si>
  <si>
    <t>Duty cycle at the maximum input voltage (CCM)</t>
  </si>
  <si>
    <t>ton_min</t>
  </si>
  <si>
    <t>Typical Ton minimum value</t>
  </si>
  <si>
    <t>Lcalc_VIN_min</t>
  </si>
  <si>
    <t>Inductor at Minimum input voltage</t>
  </si>
  <si>
    <t>IL_avg_VIN_min</t>
  </si>
  <si>
    <t>IL_avg_VIN_nom</t>
  </si>
  <si>
    <t>IL_avg_VIN_max</t>
  </si>
  <si>
    <t>Average input current at minimum input voltage. 100% Eff assumed</t>
  </si>
  <si>
    <t>Average input current at nominal input voltage. 100% Eff assumed</t>
  </si>
  <si>
    <t>Average input current at maximum input voltage. 100% Eff assumed</t>
  </si>
  <si>
    <t>H</t>
  </si>
  <si>
    <t>ILrip</t>
  </si>
  <si>
    <t>Lopt</t>
  </si>
  <si>
    <t>Optimal inductor. Based off the average</t>
  </si>
  <si>
    <t>Lm</t>
  </si>
  <si>
    <t>Selected filter inductor</t>
  </si>
  <si>
    <t>Rdcr</t>
  </si>
  <si>
    <r>
      <t>m</t>
    </r>
    <r>
      <rPr>
        <sz val="11"/>
        <color theme="1"/>
        <rFont val="Calibri"/>
        <family val="2"/>
      </rPr>
      <t>Ω</t>
    </r>
  </si>
  <si>
    <r>
      <t>Peak inductor current, IL</t>
    </r>
    <r>
      <rPr>
        <vertAlign val="subscript"/>
        <sz val="10"/>
        <color theme="1"/>
        <rFont val="Calibri"/>
        <family val="2"/>
        <scheme val="minor"/>
      </rPr>
      <t>PK</t>
    </r>
  </si>
  <si>
    <t>Strategy 1</t>
  </si>
  <si>
    <t>Strategy 2</t>
  </si>
  <si>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</si>
  <si>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</si>
  <si>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</si>
  <si>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</si>
  <si>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</si>
  <si>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</si>
  <si>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</si>
  <si>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</si>
  <si>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</si>
  <si>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</si>
  <si>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</si>
  <si>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</si>
  <si>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</si>
  <si>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</si>
  <si>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</si>
  <si>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</si>
  <si>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</si>
  <si>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</si>
  <si>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</si>
  <si>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</si>
  <si>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</si>
  <si>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</si>
  <si>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</si>
  <si>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Peak ripple ratio: Boost this happens at 33%</t>
  </si>
  <si>
    <t>Dc_rip_max</t>
  </si>
  <si>
    <t>This value used to make the selection</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</si>
  <si>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</si>
  <si>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</si>
  <si>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</si>
  <si>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</si>
  <si>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</si>
  <si>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</si>
  <si>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</si>
  <si>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</si>
  <si>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</si>
  <si>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</si>
  <si>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</si>
  <si>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</si>
  <si>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</si>
  <si>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</si>
  <si>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</si>
  <si>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</si>
  <si>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</si>
  <si>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</si>
  <si>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External Compensation? (0-no, 1-yes)</t>
  </si>
  <si>
    <t>Rcs_w_sl</t>
  </si>
  <si>
    <t>Rcs_ext_sl_ratio</t>
  </si>
  <si>
    <t>External Slope compensation ratio. Constant</t>
  </si>
  <si>
    <t>R_sl_ext</t>
  </si>
  <si>
    <t>R_cs_calc</t>
  </si>
  <si>
    <t>R_sl_calc</t>
  </si>
  <si>
    <t>R_cs</t>
  </si>
  <si>
    <t>R_sl</t>
  </si>
  <si>
    <t>Current Sense Resistor calculated</t>
  </si>
  <si>
    <t>External slope compensation resistor</t>
  </si>
  <si>
    <t>Calculated external slope compensation resistor</t>
  </si>
  <si>
    <t>Calculated current sense resistor with slope compensation included</t>
  </si>
  <si>
    <r>
      <t>Recommended external slope compensation Resistor (R</t>
    </r>
    <r>
      <rPr>
        <vertAlign val="subscript"/>
        <sz val="11"/>
        <color theme="1"/>
        <rFont val="Calibri"/>
        <family val="2"/>
        <scheme val="minor"/>
      </rPr>
      <t>SL</t>
    </r>
    <r>
      <rPr>
        <sz val="11"/>
        <color theme="1"/>
        <rFont val="Calibri"/>
        <family val="2"/>
        <scheme val="minor"/>
      </rPr>
      <t>)</t>
    </r>
  </si>
  <si>
    <t>Selected current sense Resistor</t>
  </si>
  <si>
    <t>Selected external slope compensation</t>
  </si>
  <si>
    <r>
      <t>Selected external slope compensation Resistor (R</t>
    </r>
    <r>
      <rPr>
        <vertAlign val="subscript"/>
        <sz val="11"/>
        <color theme="1"/>
        <rFont val="Calibri"/>
        <family val="2"/>
        <scheme val="minor"/>
      </rPr>
      <t>SL</t>
    </r>
    <r>
      <rPr>
        <sz val="11"/>
        <color theme="1"/>
        <rFont val="Calibri"/>
        <family val="2"/>
        <scheme val="minor"/>
      </rPr>
      <t>)</t>
    </r>
  </si>
  <si>
    <t>Check to make sure that slope compensation is high enough at the minimum input voltage</t>
  </si>
  <si>
    <t>Slope Compensation</t>
  </si>
  <si>
    <t>sl_vin_min</t>
  </si>
  <si>
    <t>Actual inductor peak current limit</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</si>
  <si>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</si>
  <si>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</si>
  <si>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</si>
  <si>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</si>
  <si>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</si>
  <si>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</si>
  <si>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</si>
  <si>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</si>
  <si>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</si>
  <si>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</si>
  <si>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Will add this later. Can be left off for APL</t>
  </si>
  <si>
    <t>Step 4: Output Capacitor Selection</t>
  </si>
  <si>
    <t>mV</t>
  </si>
  <si>
    <t xml:space="preserve">Minimum output capacitance </t>
  </si>
  <si>
    <r>
      <t>Selected Output Capacitance (C</t>
    </r>
    <r>
      <rPr>
        <vertAlign val="subscript"/>
        <sz val="11"/>
        <color theme="1"/>
        <rFont val="Calibri"/>
        <family val="2"/>
        <scheme val="minor"/>
      </rPr>
      <t>OUT</t>
    </r>
    <r>
      <rPr>
        <sz val="11"/>
        <color theme="1"/>
        <rFont val="Calibri"/>
        <family val="2"/>
        <scheme val="minor"/>
      </rPr>
      <t>)</t>
    </r>
  </si>
  <si>
    <t>Desired output ripple</t>
  </si>
  <si>
    <t>Vout_rip_sel</t>
  </si>
  <si>
    <t>Recommend Minimum Inductor Saturation Current Rating</t>
  </si>
  <si>
    <t>Cout_min</t>
  </si>
  <si>
    <t>F</t>
  </si>
  <si>
    <t>Calculate minimum capacitance based simply on the capacitive ripple</t>
  </si>
  <si>
    <r>
      <t>Capacitor RMS current (I</t>
    </r>
    <r>
      <rPr>
        <vertAlign val="subscript"/>
        <sz val="11"/>
        <color theme="1"/>
        <rFont val="Calibri"/>
        <family val="2"/>
        <scheme val="minor"/>
      </rPr>
      <t>RMS_COUT</t>
    </r>
    <r>
      <rPr>
        <sz val="11"/>
        <color theme="1"/>
        <rFont val="Calibri"/>
        <family val="2"/>
        <scheme val="minor"/>
      </rPr>
      <t>)</t>
    </r>
  </si>
  <si>
    <t>IRMS_COUT</t>
  </si>
  <si>
    <t>RMS current of the output capacitor at VIN min IOUT max. RMS current rating should be larger than this.</t>
  </si>
  <si>
    <r>
      <t>Equivalent  COUT ESR (R</t>
    </r>
    <r>
      <rPr>
        <vertAlign val="subscript"/>
        <sz val="11"/>
        <color theme="1"/>
        <rFont val="Calibri"/>
        <family val="2"/>
        <scheme val="minor"/>
      </rPr>
      <t>ESR</t>
    </r>
    <r>
      <rPr>
        <sz val="11"/>
        <color theme="1"/>
        <rFont val="Calibri"/>
        <family val="2"/>
        <scheme val="minor"/>
      </rPr>
      <t>)</t>
    </r>
  </si>
  <si>
    <t>Resr</t>
  </si>
  <si>
    <t>Selected Output Capacitance</t>
  </si>
  <si>
    <t>Selected output capacitance ESR</t>
  </si>
  <si>
    <t>Cout</t>
  </si>
  <si>
    <r>
      <t>Selected Peak Current limit(IL</t>
    </r>
    <r>
      <rPr>
        <vertAlign val="subscript"/>
        <sz val="11"/>
        <color theme="1"/>
        <rFont val="Calibri"/>
        <family val="2"/>
        <scheme val="minor"/>
      </rPr>
      <t>PK_select</t>
    </r>
    <r>
      <rPr>
        <sz val="11"/>
        <color theme="1"/>
        <rFont val="Calibri"/>
        <family val="2"/>
        <scheme val="minor"/>
      </rPr>
      <t>)</t>
    </r>
  </si>
  <si>
    <t>Step 5: Loop Compensation</t>
  </si>
  <si>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</si>
  <si>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</si>
  <si>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</si>
  <si>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</si>
  <si>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</si>
  <si>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</si>
  <si>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</si>
  <si>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</si>
  <si>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</si>
  <si>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</si>
  <si>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</si>
  <si>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</si>
  <si>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</si>
  <si>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</si>
  <si>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</si>
  <si>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</si>
  <si>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</si>
  <si>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</si>
  <si>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</si>
  <si>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</si>
  <si>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</si>
  <si>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</si>
  <si>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</si>
  <si>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</si>
  <si>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</si>
  <si>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</si>
  <si>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</si>
  <si>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</si>
  <si>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</si>
  <si>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</si>
  <si>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</si>
  <si>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</si>
  <si>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</si>
  <si>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</si>
  <si>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</si>
  <si>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</si>
  <si>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</si>
  <si>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</si>
  <si>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</si>
  <si>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</si>
  <si>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</si>
  <si>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</si>
  <si>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</si>
  <si>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</si>
  <si>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</si>
  <si>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</si>
  <si>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</si>
  <si>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</si>
  <si>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</si>
  <si>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</si>
  <si>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</si>
  <si>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</si>
  <si>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</si>
  <si>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</si>
  <si>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</si>
  <si>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</si>
  <si>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</si>
  <si>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Plant Parameters</t>
  </si>
  <si>
    <t>wz_ea</t>
  </si>
  <si>
    <t>Adc_ea</t>
  </si>
  <si>
    <t>gm_ea</t>
  </si>
  <si>
    <t>Error Amplifier Gain</t>
  </si>
  <si>
    <t>A/V</t>
  </si>
  <si>
    <t>wp0_ea</t>
  </si>
  <si>
    <t>wp1_ea</t>
  </si>
  <si>
    <t>ADC_ea</t>
  </si>
  <si>
    <t xml:space="preserve">Gain </t>
  </si>
  <si>
    <t>Open Loop Response</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</si>
  <si>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</si>
  <si>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</si>
  <si>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</si>
  <si>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</si>
  <si>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</si>
  <si>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</si>
  <si>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</si>
  <si>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</si>
  <si>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</si>
  <si>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</si>
  <si>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</si>
  <si>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</si>
  <si>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</si>
  <si>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</si>
  <si>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</si>
  <si>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</si>
  <si>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</si>
  <si>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</si>
  <si>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</si>
  <si>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</si>
  <si>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Fcross_est</t>
  </si>
  <si>
    <r>
      <t>Calculated bottom feedback resistor (R</t>
    </r>
    <r>
      <rPr>
        <vertAlign val="subscript"/>
        <sz val="11"/>
        <color theme="1"/>
        <rFont val="Calibri"/>
        <family val="2"/>
        <scheme val="minor"/>
      </rPr>
      <t>FBB_cala</t>
    </r>
    <r>
      <rPr>
        <sz val="11"/>
        <color theme="1"/>
        <rFont val="Calibri"/>
        <family val="2"/>
        <scheme val="minor"/>
      </rPr>
      <t>)</t>
    </r>
  </si>
  <si>
    <t>fcross</t>
  </si>
  <si>
    <t>Desired Crossover frequency</t>
  </si>
  <si>
    <t>1/10 the swictching frequency</t>
  </si>
  <si>
    <t>Conservative. Set Fcross to be 1/5th the RHP zero frequency or 1/10th SW: whichever is lower</t>
  </si>
  <si>
    <t>Select the lower crossover frequency</t>
  </si>
  <si>
    <t>Gplant_fc</t>
  </si>
  <si>
    <t>Gain of the plant at the desired crossover frequency</t>
  </si>
  <si>
    <t>Fcross</t>
  </si>
  <si>
    <t>wz_RHP</t>
  </si>
  <si>
    <t>Gplant_fc_dB</t>
  </si>
  <si>
    <t>Plant gain at crossover frequency (dB)</t>
  </si>
  <si>
    <t>Gea_mid_calc</t>
  </si>
  <si>
    <t>Error Amplifier Mid-band gain to set cross over frequency correctly</t>
  </si>
  <si>
    <t>Rcomp_Calc</t>
  </si>
  <si>
    <t>Calculate on based on the desired Mid-band gain needed to set the crossover frequency</t>
  </si>
  <si>
    <t>fz_ea_est</t>
  </si>
  <si>
    <t>Set the fz_ea 1/10th the cross over frequency (Common approach)</t>
  </si>
  <si>
    <t>Set the fz_ea geometerically inbetween crossover and the wp_lf</t>
  </si>
  <si>
    <t>Fz_ea_1</t>
  </si>
  <si>
    <t>Fz_ea_2</t>
  </si>
  <si>
    <t>CCOMP_calc</t>
  </si>
  <si>
    <t>CHF_Calc</t>
  </si>
  <si>
    <t>fp_ea_est</t>
  </si>
  <si>
    <r>
      <t>Select a top feedback resistor(R</t>
    </r>
    <r>
      <rPr>
        <vertAlign val="subscript"/>
        <sz val="11"/>
        <color theme="1"/>
        <rFont val="Calibri"/>
        <family val="2"/>
        <scheme val="minor"/>
      </rPr>
      <t>FBT</t>
    </r>
    <r>
      <rPr>
        <sz val="11"/>
        <color theme="1"/>
        <rFont val="Calibri"/>
        <family val="2"/>
        <scheme val="minor"/>
      </rPr>
      <t>)</t>
    </r>
  </si>
  <si>
    <t>Step 5: Soft-Start Capacitor Selection</t>
  </si>
  <si>
    <t>Step 6: UVLO Resistor Divider Selection</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</si>
  <si>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</si>
  <si>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</si>
  <si>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</si>
  <si>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</si>
  <si>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</si>
  <si>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</si>
  <si>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</si>
  <si>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</si>
  <si>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</si>
  <si>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</si>
  <si>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</si>
  <si>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</si>
  <si>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</si>
  <si>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</si>
  <si>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</si>
  <si>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</si>
  <si>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</si>
  <si>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</si>
  <si>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</si>
  <si>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</si>
  <si>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</si>
  <si>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Calibri"/>
        <family val="2"/>
        <scheme val="minor"/>
      </rPr>
      <t>SS_MIN</t>
    </r>
    <r>
      <rPr>
        <sz val="11"/>
        <color theme="1"/>
        <rFont val="Calibri"/>
        <family val="2"/>
        <scheme val="minor"/>
      </rPr>
      <t>)</t>
    </r>
  </si>
  <si>
    <t>ms</t>
  </si>
  <si>
    <t>Css_calc</t>
  </si>
  <si>
    <t>Calcualted Soft-start capacitor</t>
  </si>
  <si>
    <r>
      <t>Calculated soft-start capacitor (C</t>
    </r>
    <r>
      <rPr>
        <vertAlign val="subscript"/>
        <sz val="11"/>
        <color theme="1"/>
        <rFont val="Calibri"/>
        <family val="2"/>
        <scheme val="minor"/>
      </rPr>
      <t>SS</t>
    </r>
    <r>
      <rPr>
        <sz val="11"/>
        <color theme="1"/>
        <rFont val="Calibri"/>
        <family val="2"/>
        <scheme val="minor"/>
      </rPr>
      <t>)</t>
    </r>
  </si>
  <si>
    <r>
      <t>Desired voltage OFF (V</t>
    </r>
    <r>
      <rPr>
        <vertAlign val="subscript"/>
        <sz val="11"/>
        <color theme="1"/>
        <rFont val="Calibri"/>
        <family val="2"/>
        <scheme val="minor"/>
      </rPr>
      <t>UVLO_OFF</t>
    </r>
    <r>
      <rPr>
        <sz val="11"/>
        <color theme="1"/>
        <rFont val="Calibri"/>
        <family val="2"/>
        <scheme val="minor"/>
      </rPr>
      <t>)</t>
    </r>
  </si>
  <si>
    <r>
      <t>Desired voltage On (V</t>
    </r>
    <r>
      <rPr>
        <vertAlign val="subscript"/>
        <sz val="11"/>
        <color theme="1"/>
        <rFont val="Calibri"/>
        <family val="2"/>
        <scheme val="minor"/>
      </rPr>
      <t>UVLO_ON</t>
    </r>
    <r>
      <rPr>
        <sz val="11"/>
        <color theme="1"/>
        <rFont val="Calibri"/>
        <family val="2"/>
        <scheme val="minor"/>
      </rPr>
      <t>)</t>
    </r>
  </si>
  <si>
    <t>Step 6: UVLO Resistor Selection</t>
  </si>
  <si>
    <t>Step 5: Soft-start Capacitor selection</t>
  </si>
  <si>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</si>
  <si>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</si>
  <si>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</si>
  <si>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</si>
  <si>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</si>
  <si>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</si>
  <si>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</si>
  <si>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</si>
  <si>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</si>
  <si>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</si>
  <si>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</si>
  <si>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</si>
  <si>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</si>
  <si>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</si>
  <si>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</si>
  <si>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</si>
  <si>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</si>
  <si>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</si>
  <si>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</si>
  <si>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</si>
  <si>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Step  7: Loop Compensation</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</si>
  <si>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</si>
  <si>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</si>
  <si>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</si>
  <si>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</si>
  <si>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</si>
  <si>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</si>
  <si>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r>
      <t>ID</t>
    </r>
    <r>
      <rPr>
        <vertAlign val="subscript"/>
        <sz val="11"/>
        <color theme="1"/>
        <rFont val="Calibri"/>
        <family val="2"/>
        <scheme val="minor"/>
      </rPr>
      <t>RMS</t>
    </r>
  </si>
  <si>
    <t>Step 7: Component Selection</t>
  </si>
  <si>
    <t>Vd_rect</t>
  </si>
  <si>
    <t>Rect Diode forward voltage drop</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</si>
  <si>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</si>
  <si>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</si>
  <si>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</si>
  <si>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</si>
  <si>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</si>
  <si>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</si>
  <si>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</si>
  <si>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</si>
  <si>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</si>
  <si>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</si>
  <si>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</si>
  <si>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</si>
  <si>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</si>
  <si>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</si>
  <si>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</si>
  <si>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</si>
  <si>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</si>
  <si>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</si>
  <si>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r>
      <t>Forward Voltage Drop (V</t>
    </r>
    <r>
      <rPr>
        <vertAlign val="subscript"/>
        <sz val="11"/>
        <color theme="1"/>
        <rFont val="Calibri"/>
        <family val="2"/>
        <scheme val="minor"/>
      </rPr>
      <t>D</t>
    </r>
    <r>
      <rPr>
        <sz val="11"/>
        <color theme="1"/>
        <rFont val="Calibri"/>
        <family val="2"/>
        <scheme val="minor"/>
      </rPr>
      <t>)</t>
    </r>
  </si>
  <si>
    <t>MOSFET Parameters</t>
  </si>
  <si>
    <t>Qg_tot</t>
  </si>
  <si>
    <t>Qgs</t>
  </si>
  <si>
    <t>Qgd</t>
  </si>
  <si>
    <t>Rgate</t>
  </si>
  <si>
    <t>gfs</t>
  </si>
  <si>
    <t>Vth</t>
  </si>
  <si>
    <t>Reverse recovery charge of Schottky  Diode (QRR)</t>
  </si>
  <si>
    <t>C</t>
  </si>
  <si>
    <t>Shottky Reverse recovery charge</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</si>
  <si>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</si>
  <si>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</si>
  <si>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</si>
  <si>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</si>
  <si>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</si>
  <si>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</si>
  <si>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</si>
  <si>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</si>
  <si>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</si>
  <si>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</si>
  <si>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</si>
  <si>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</si>
  <si>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</si>
  <si>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</si>
  <si>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</si>
  <si>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</si>
  <si>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</si>
  <si>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</si>
  <si>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</si>
  <si>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</si>
  <si>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</si>
  <si>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 xml:space="preserve">D_tot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</si>
  <si>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</si>
  <si>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</si>
  <si>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</si>
  <si>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</si>
  <si>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</si>
  <si>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</si>
  <si>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</si>
  <si>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</si>
  <si>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</si>
  <si>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</si>
  <si>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</si>
  <si>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</si>
  <si>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MOSFET</t>
  </si>
  <si>
    <t>Inductor</t>
  </si>
  <si>
    <t>Diode</t>
  </si>
  <si>
    <r>
      <t>C</t>
    </r>
    <r>
      <rPr>
        <vertAlign val="subscript"/>
        <sz val="11"/>
        <color theme="1"/>
        <rFont val="Calibri"/>
        <family val="2"/>
        <scheme val="minor"/>
      </rPr>
      <t>COMP</t>
    </r>
  </si>
  <si>
    <r>
      <t>C</t>
    </r>
    <r>
      <rPr>
        <vertAlign val="subscript"/>
        <sz val="11"/>
        <color theme="1"/>
        <rFont val="Calibri"/>
        <family val="2"/>
        <scheme val="minor"/>
      </rPr>
      <t>HF</t>
    </r>
  </si>
  <si>
    <t>IOUT_VAR</t>
  </si>
  <si>
    <t>Variable output current (Need to add this in</t>
  </si>
  <si>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</si>
  <si>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</si>
  <si>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</si>
  <si>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</si>
  <si>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</si>
  <si>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</si>
  <si>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</si>
  <si>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Recommended Inductance (L</t>
    </r>
    <r>
      <rPr>
        <vertAlign val="subscript"/>
        <sz val="10"/>
        <color theme="1"/>
        <rFont val="Calibri"/>
        <family val="2"/>
        <scheme val="minor"/>
      </rPr>
      <t>M_CALC</t>
    </r>
    <r>
      <rPr>
        <sz val="10"/>
        <color theme="1"/>
        <rFont val="Calibri"/>
        <family val="2"/>
        <scheme val="minor"/>
      </rPr>
      <t>)</t>
    </r>
  </si>
  <si>
    <r>
      <t>User Selection. Inductance, (L</t>
    </r>
    <r>
      <rPr>
        <vertAlign val="subscript"/>
        <sz val="10"/>
        <color theme="1"/>
        <rFont val="Calibri"/>
        <family val="2"/>
        <scheme val="minor"/>
      </rPr>
      <t>M</t>
    </r>
    <r>
      <rPr>
        <sz val="10"/>
        <color theme="1"/>
        <rFont val="Calibri"/>
        <family val="2"/>
        <scheme val="minor"/>
      </rPr>
      <t>)</t>
    </r>
  </si>
  <si>
    <t>Id_AVG</t>
  </si>
  <si>
    <t xml:space="preserve">Suggested average current rating of diode. </t>
  </si>
  <si>
    <r>
      <t>Calculated top UVLO resistor value (R</t>
    </r>
    <r>
      <rPr>
        <vertAlign val="subscript"/>
        <sz val="11"/>
        <color theme="1"/>
        <rFont val="Calibri"/>
        <family val="2"/>
        <scheme val="minor"/>
      </rPr>
      <t>UVT_CALC</t>
    </r>
    <r>
      <rPr>
        <sz val="11"/>
        <color theme="1"/>
        <rFont val="Calibri"/>
        <family val="2"/>
        <scheme val="minor"/>
      </rPr>
      <t>)</t>
    </r>
  </si>
  <si>
    <r>
      <t>Selected top UVLO resistor value (R</t>
    </r>
    <r>
      <rPr>
        <vertAlign val="subscript"/>
        <sz val="11"/>
        <color theme="1"/>
        <rFont val="Calibri"/>
        <family val="2"/>
        <scheme val="minor"/>
      </rPr>
      <t>UVT</t>
    </r>
    <r>
      <rPr>
        <sz val="11"/>
        <color theme="1"/>
        <rFont val="Calibri"/>
        <family val="2"/>
        <scheme val="minor"/>
      </rPr>
      <t>)</t>
    </r>
  </si>
  <si>
    <r>
      <t>Bottom UVLO Resistor (R</t>
    </r>
    <r>
      <rPr>
        <vertAlign val="subscript"/>
        <sz val="11"/>
        <color theme="1"/>
        <rFont val="Calibri"/>
        <family val="2"/>
        <scheme val="minor"/>
      </rPr>
      <t>UVB</t>
    </r>
    <r>
      <rPr>
        <sz val="11"/>
        <color theme="1"/>
        <rFont val="Calibri"/>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</si>
  <si>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</si>
  <si>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</si>
  <si>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</si>
  <si>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</si>
  <si>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</si>
  <si>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</si>
  <si>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</si>
  <si>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</si>
  <si>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</si>
  <si>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</si>
  <si>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</si>
  <si>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</si>
  <si>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</si>
  <si>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</si>
  <si>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</si>
  <si>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</si>
  <si>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</si>
  <si>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</si>
  <si>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</si>
  <si>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</si>
  <si>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Boost Converter Duty Cycle Limit by LM5155 at V</t>
    </r>
    <r>
      <rPr>
        <vertAlign val="subscript"/>
        <sz val="10"/>
        <color theme="1"/>
        <rFont val="Calibri"/>
        <family val="2"/>
        <scheme val="minor"/>
      </rPr>
      <t>SUPPLY(MIN)</t>
    </r>
  </si>
  <si>
    <r>
      <t>Desired Maximum Inductor Current Ripple Ratio (I</t>
    </r>
    <r>
      <rPr>
        <vertAlign val="subscript"/>
        <sz val="10"/>
        <color theme="1"/>
        <rFont val="Calibri"/>
        <family val="2"/>
        <scheme val="minor"/>
      </rPr>
      <t>RR_MAX</t>
    </r>
    <r>
      <rPr>
        <sz val="10"/>
        <color theme="1"/>
        <rFont val="Calibri"/>
        <family val="2"/>
        <scheme val="minor"/>
      </rPr>
      <t>)</t>
    </r>
  </si>
  <si>
    <t>Peak Current Limit Margin</t>
  </si>
  <si>
    <r>
      <t>Voltage selected (V</t>
    </r>
    <r>
      <rPr>
        <vertAlign val="subscript"/>
        <sz val="11"/>
        <rFont val="Calibri"/>
        <family val="2"/>
        <scheme val="minor"/>
      </rPr>
      <t>IN_VAR</t>
    </r>
    <r>
      <rPr>
        <sz val="11"/>
        <rFont val="Calibri"/>
        <family val="2"/>
        <scheme val="minor"/>
      </rPr>
      <t>)</t>
    </r>
  </si>
  <si>
    <t>This should be set at or near the lowest RHP zero Frequency</t>
  </si>
  <si>
    <t>Set between 1/2 fsw and the RHPz in the application note. This is aggressive</t>
  </si>
  <si>
    <r>
      <t>Recommended minimum average current rating (I</t>
    </r>
    <r>
      <rPr>
        <vertAlign val="subscript"/>
        <sz val="11"/>
        <color theme="1"/>
        <rFont val="Calibri"/>
        <family val="2"/>
        <scheme val="minor"/>
      </rPr>
      <t>D_AVG</t>
    </r>
    <r>
      <rPr>
        <sz val="11"/>
        <color theme="1"/>
        <rFont val="Calibri"/>
        <family val="2"/>
        <scheme val="minor"/>
      </rPr>
      <t>)</t>
    </r>
  </si>
  <si>
    <r>
      <t>Recommended current sense Resistor (R</t>
    </r>
    <r>
      <rPr>
        <vertAlign val="subscript"/>
        <sz val="11"/>
        <color theme="1"/>
        <rFont val="Calibri"/>
        <family val="2"/>
        <scheme val="minor"/>
      </rPr>
      <t>S</t>
    </r>
    <r>
      <rPr>
        <sz val="11"/>
        <color theme="1"/>
        <rFont val="Calibri"/>
        <family val="2"/>
        <scheme val="minor"/>
      </rPr>
      <t>)</t>
    </r>
  </si>
  <si>
    <r>
      <t>Selected current sense Resistor (R</t>
    </r>
    <r>
      <rPr>
        <vertAlign val="subscript"/>
        <sz val="11"/>
        <color theme="1"/>
        <rFont val="Calibri"/>
        <family val="2"/>
        <scheme val="minor"/>
      </rPr>
      <t>S</t>
    </r>
    <r>
      <rPr>
        <sz val="11"/>
        <color theme="1"/>
        <rFont val="Calibri"/>
        <family val="2"/>
        <scheme val="minor"/>
      </rPr>
      <t>)</t>
    </r>
  </si>
  <si>
    <t>CCM</t>
  </si>
  <si>
    <t>DCM</t>
  </si>
  <si>
    <t>Dc_DCM_max_ideal</t>
  </si>
  <si>
    <t>Duty cycle at the mimum input voltage (DCM)</t>
  </si>
  <si>
    <t>Duty cycle at the nominal input voltage (DCM)</t>
  </si>
  <si>
    <t>Duty cycle at the maximum input voltage (DCM)</t>
  </si>
  <si>
    <t>Dc_DCM_VIN_min</t>
  </si>
  <si>
    <t>IL_avg_DCM_VIN_min</t>
  </si>
  <si>
    <t>Dc_DCM_VIN_nom</t>
  </si>
  <si>
    <t>IL_avg_DCM_VIN_nom</t>
  </si>
  <si>
    <t>Dc_DCM_VIN_max</t>
  </si>
  <si>
    <t xml:space="preserve">Duty cycle at the mimum input voltage </t>
  </si>
  <si>
    <t>Duty cycle at the nominal input voltage</t>
  </si>
  <si>
    <t>Duty cycle at the maximum input voltage</t>
  </si>
  <si>
    <t>Dc_CCM_max_ideal</t>
  </si>
  <si>
    <t>Dc_CCM_VIN_min</t>
  </si>
  <si>
    <t>IL_avg_CCM_VIN_min</t>
  </si>
  <si>
    <t>Dc_CCM_VIN_nom</t>
  </si>
  <si>
    <t>IL_avg_CCM_VIN_nom</t>
  </si>
  <si>
    <t>Dc_CCM_VIN_max</t>
  </si>
  <si>
    <t>IL_avg_CCM_VIN_max</t>
  </si>
  <si>
    <t>Selected Mode for Calculation</t>
  </si>
  <si>
    <t>Possible Mode due to Load and L Selection</t>
  </si>
  <si>
    <t xml:space="preserve">Ideal Duty Cycle at VSUPPLY(MIN) </t>
  </si>
  <si>
    <t>CCM/DCM selected</t>
  </si>
  <si>
    <t>Rsl_max</t>
  </si>
  <si>
    <t>Maximum Value of Rsl (DS page 21)</t>
  </si>
  <si>
    <t>Operation Mode</t>
  </si>
  <si>
    <t>Version Number</t>
  </si>
  <si>
    <t>1.0.0</t>
  </si>
  <si>
    <t>Version History</t>
  </si>
  <si>
    <t>Version</t>
  </si>
  <si>
    <t>Change List Description</t>
  </si>
  <si>
    <t>Initial Release</t>
  </si>
  <si>
    <r>
      <t>Desired soft-start time at minimum input voltage (T</t>
    </r>
    <r>
      <rPr>
        <vertAlign val="subscript"/>
        <sz val="11"/>
        <color theme="1"/>
        <rFont val="Calibri"/>
        <family val="2"/>
        <scheme val="minor"/>
      </rPr>
      <t>SS</t>
    </r>
    <r>
      <rPr>
        <sz val="11"/>
        <color theme="1"/>
        <rFont val="Calibri"/>
        <family val="2"/>
        <scheme val="minor"/>
      </rPr>
      <t>)</t>
    </r>
  </si>
  <si>
    <r>
      <t>Select a bottom resistor based on calculated value(R</t>
    </r>
    <r>
      <rPr>
        <vertAlign val="subscript"/>
        <sz val="11"/>
        <color theme="1"/>
        <rFont val="Calibri"/>
        <family val="2"/>
        <scheme val="minor"/>
      </rPr>
      <t>FBB</t>
    </r>
    <r>
      <rPr>
        <sz val="11"/>
        <color theme="1"/>
        <rFont val="Calibri"/>
        <family val="2"/>
        <scheme val="minor"/>
      </rPr>
      <t>)</t>
    </r>
  </si>
  <si>
    <t>1.1.0</t>
  </si>
  <si>
    <t>Added DCM mode</t>
  </si>
  <si>
    <t>Sel_Cond_Mode</t>
  </si>
  <si>
    <t>ConductionMode</t>
  </si>
  <si>
    <t>Gain Cross</t>
  </si>
  <si>
    <t>Phase Cross</t>
  </si>
  <si>
    <t>XOVER SEARCH</t>
  </si>
  <si>
    <t>xover</t>
  </si>
  <si>
    <t>phase margin</t>
  </si>
  <si>
    <r>
      <t>Target Output Voltage, V</t>
    </r>
    <r>
      <rPr>
        <vertAlign val="subscript"/>
        <sz val="10"/>
        <color theme="1"/>
        <rFont val="Calibri"/>
        <family val="2"/>
        <scheme val="minor"/>
      </rPr>
      <t>LOAD</t>
    </r>
    <r>
      <rPr>
        <sz val="10"/>
        <color theme="1"/>
        <rFont val="Calibri"/>
        <family val="2"/>
        <scheme val="minor"/>
      </rPr>
      <t xml:space="preserve"> </t>
    </r>
  </si>
  <si>
    <r>
      <t>Desired Output ripple voltage (</t>
    </r>
    <r>
      <rPr>
        <sz val="11"/>
        <color theme="1"/>
        <rFont val="Calibri"/>
        <family val="2"/>
      </rPr>
      <t>Δv</t>
    </r>
    <r>
      <rPr>
        <vertAlign val="subscript"/>
        <sz val="11"/>
        <color theme="1"/>
        <rFont val="Calibri"/>
        <family val="2"/>
      </rPr>
      <t>OUT</t>
    </r>
    <r>
      <rPr>
        <sz val="11"/>
        <color theme="1"/>
        <rFont val="Calibri"/>
        <family val="2"/>
      </rPr>
      <t>)</t>
    </r>
  </si>
  <si>
    <r>
      <rPr>
        <sz val="11"/>
        <color theme="1"/>
        <rFont val="Calibri"/>
        <family val="2"/>
      </rPr>
      <t>μ</t>
    </r>
    <r>
      <rPr>
        <sz val="11"/>
        <color theme="1"/>
        <rFont val="Calibri"/>
        <family val="2"/>
        <scheme val="minor"/>
      </rPr>
      <t>H</t>
    </r>
  </si>
  <si>
    <r>
      <rPr>
        <sz val="11"/>
        <color theme="1"/>
        <rFont val="Calibri"/>
        <family val="2"/>
      </rPr>
      <t>μ</t>
    </r>
    <r>
      <rPr>
        <sz val="11"/>
        <color theme="1"/>
        <rFont val="Calibri"/>
        <family val="2"/>
        <scheme val="minor"/>
      </rPr>
      <t>F</t>
    </r>
  </si>
  <si>
    <t>wp_hf</t>
  </si>
  <si>
    <t>HF pole used for DCM</t>
  </si>
  <si>
    <t>Fn</t>
  </si>
  <si>
    <t>M</t>
  </si>
  <si>
    <t>Hd</t>
  </si>
  <si>
    <t>tauL</t>
  </si>
  <si>
    <t>Suggested maximum bandwidth</t>
  </si>
  <si>
    <r>
      <t>Selected bandwidth (F</t>
    </r>
    <r>
      <rPr>
        <vertAlign val="subscript"/>
        <sz val="11"/>
        <color theme="1"/>
        <rFont val="Calibri"/>
        <family val="2"/>
        <scheme val="minor"/>
      </rPr>
      <t>CO</t>
    </r>
    <r>
      <rPr>
        <sz val="11"/>
        <color theme="1"/>
        <rFont val="Calibri"/>
        <family val="2"/>
        <scheme val="minor"/>
      </rPr>
      <t>)</t>
    </r>
  </si>
  <si>
    <t>Mode</t>
  </si>
  <si>
    <t>Valid Lm</t>
  </si>
  <si>
    <t>L dcm/ccm</t>
  </si>
  <si>
    <t>min</t>
  </si>
  <si>
    <t>max</t>
  </si>
  <si>
    <t>min10%</t>
  </si>
  <si>
    <t>max10%</t>
  </si>
  <si>
    <t>V in min</t>
  </si>
  <si>
    <t>V in nom</t>
  </si>
  <si>
    <t>DC CCM &lt; DCM</t>
  </si>
  <si>
    <t>CCM/DCM</t>
  </si>
  <si>
    <t>Dc_Mode_Loop_Loop</t>
  </si>
  <si>
    <t>Duty Cycle mode for Loop Comenstation</t>
  </si>
  <si>
    <t>CCM only</t>
  </si>
  <si>
    <t>DCM only</t>
  </si>
  <si>
    <t>ModeCheck</t>
  </si>
  <si>
    <t>Lcalc_VIN_max</t>
  </si>
  <si>
    <t>Lcalc_VIN_nom</t>
  </si>
  <si>
    <t>Inductor at Nominal input voltage</t>
  </si>
  <si>
    <t>Inductor at Maximum input voltage</t>
  </si>
  <si>
    <t>V in max</t>
  </si>
  <si>
    <t>Strategy DCM</t>
  </si>
  <si>
    <t>L_DCM</t>
  </si>
  <si>
    <t>1.1.1</t>
  </si>
  <si>
    <t>Fixed reporting of wrong phase Margin</t>
  </si>
  <si>
    <t>Rev 1.1.1</t>
  </si>
  <si>
    <t>August-2021</t>
  </si>
  <si>
    <t>LM5155/56 DC/DC BOOST Controller Design Tool</t>
  </si>
  <si>
    <t>VIN_op_max_56</t>
  </si>
  <si>
    <t>Maximum BIAS pin operating voltage LM5156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</si>
</sst>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
    <numFmt numFmtId="165" formatCode="0.000E+00"/>
    <numFmt numFmtId="166" formatCode="0.0000"/>
    <numFmt numFmtId="167" formatCode="0.0000E+00"/>
    <numFmt numFmtId="168" formatCode="0.0"/>
    <numFmt numFmtId="169" formatCode="0.0E+00"/>
  </numFmts>
  <fonts count="44"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vertAlign val="subscript"/>
      <sz val="11"/>
      <color theme="1"/>
      <name val="Calibri"/>
      <family val="2"/>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sz val="18"/>
      <color theme="0"/>
      <name val="Calibri"/>
      <family val="2"/>
      <scheme val="minor"/>
    </font>
    <font>
      <vertAlign val="subscript"/>
      <sz val="10"/>
      <name val="Arial"/>
      <family val="2"/>
    </font>
    <font>
      <vertAlign val="subscript"/>
      <sz val="11"/>
      <name val="Calibri"/>
      <family val="2"/>
      <scheme val="minor"/>
    </font>
    <font>
      <b/>
      <sz val="11"/>
      <color theme="4"/>
      <name val="Calibri"/>
      <family val="2"/>
      <scheme val="minor"/>
    </font>
    <font>
      <b/>
      <sz val="9"/>
      <color indexed="10"/>
      <name val="Tahoma"/>
      <family val="2"/>
    </font>
    <font>
      <vertAlign val="subscript"/>
      <sz val="9"/>
      <color indexed="81"/>
      <name val="Tahoma"/>
      <family val="2"/>
    </font>
    <font>
      <sz val="11"/>
      <color indexed="10"/>
      <name val="Calibri"/>
      <family val="2"/>
      <scheme val="minor"/>
    </font>
    <font>
      <sz val="11"/>
      <color rgb="FFFF0000"/>
      <name val="Calibri"/>
      <family val="2"/>
      <scheme val="minor"/>
    </font>
    <font>
      <u/>
      <sz val="11"/>
      <color theme="10"/>
      <name val="Calibri"/>
      <family val="2"/>
      <scheme val="minor"/>
    </font>
    <font>
      <sz val="11"/>
      <color theme="1"/>
      <name val="Arial"/>
      <family val="2"/>
    </font>
    <font>
      <b/>
      <sz val="10"/>
      <color theme="1"/>
      <name val="Arial"/>
      <family val="2"/>
    </font>
    <font>
      <sz val="10"/>
      <color theme="1"/>
      <name val="Arial"/>
      <family val="2"/>
    </font>
    <font>
      <b/>
      <u/>
      <sz val="10"/>
      <color theme="10"/>
      <name val="Arial"/>
      <family val="2"/>
    </font>
    <font>
      <b/>
      <sz val="10"/>
      <color theme="0"/>
      <name val="Arial"/>
      <family val="2"/>
    </font>
    <font>
      <b/>
      <u/>
      <sz val="11"/>
      <color theme="10"/>
      <name val="Arial"/>
      <family val="2"/>
    </font>
    <font>
      <b/>
      <sz val="8"/>
      <color indexed="81"/>
      <name val="Tahoma"/>
      <family val="2"/>
    </font>
    <font>
      <b/>
      <sz val="9"/>
      <color indexed="52"/>
      <name val="Tahoma"/>
      <family val="2"/>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
      <patternFill patternType="solid">
        <fgColor rgb="FFDE0000"/>
        <bgColor indexed="64"/>
      </patternFill>
    </fill>
    <fill>
      <patternFill patternType="solid">
        <fgColor indexed="44"/>
        <bgColor indexed="64"/>
      </patternFill>
    </fill>
  </fills>
  <borders count="29">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35" fillId="0" borderId="0" applyNumberFormat="0" applyFill="0" applyBorder="0" applyAlignment="0" applyProtection="0"/>
  </cellStyleXfs>
  <cellXfs count="251">
    <xf numFmtId="0" fontId="0" fillId="0" borderId="0" xfId="0"/>
    <xf numFmtId="0" fontId="0" fillId="9" borderId="0" xfId="0" applyFill="1"/>
    <xf numFmtId="0" fontId="16"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xf numFmtId="0" fontId="9" fillId="0" borderId="0" xfId="3" applyFont="1"/>
    <xf numFmtId="2" fontId="0" fillId="10" borderId="0" xfId="0" applyNumberFormat="1" applyFill="1"/>
    <xf numFmtId="0" fontId="0" fillId="11" borderId="0" xfId="0" applyFill="1"/>
    <xf numFmtId="165" fontId="0" fillId="9" borderId="0" xfId="0" applyNumberFormat="1" applyFill="1"/>
    <xf numFmtId="0" fontId="5" fillId="0" borderId="0" xfId="3" applyFont="1" applyAlignment="1">
      <alignment horizontal="right"/>
    </xf>
    <xf numFmtId="0" fontId="4" fillId="0" borderId="0" xfId="3" applyAlignment="1">
      <alignment horizontal="center"/>
    </xf>
    <xf numFmtId="164" fontId="0" fillId="9" borderId="0" xfId="0" applyNumberFormat="1" applyFill="1"/>
    <xf numFmtId="2" fontId="0" fillId="9" borderId="0" xfId="0" applyNumberFormat="1" applyFill="1"/>
    <xf numFmtId="1" fontId="0" fillId="9" borderId="0" xfId="0" applyNumberFormat="1" applyFill="1"/>
    <xf numFmtId="0" fontId="15" fillId="0" borderId="0" xfId="0" applyFont="1"/>
    <xf numFmtId="164" fontId="0" fillId="0" borderId="0" xfId="0" applyNumberFormat="1"/>
    <xf numFmtId="11" fontId="14" fillId="10" borderId="0" xfId="0" applyNumberFormat="1" applyFont="1" applyFill="1"/>
    <xf numFmtId="0" fontId="17" fillId="0" borderId="0" xfId="0" applyFont="1"/>
    <xf numFmtId="2" fontId="0" fillId="0" borderId="0" xfId="0" applyNumberFormat="1"/>
    <xf numFmtId="167" fontId="0" fillId="9" borderId="0" xfId="0" applyNumberFormat="1" applyFill="1"/>
    <xf numFmtId="11" fontId="0" fillId="9" borderId="0" xfId="0" applyNumberFormat="1" applyFill="1"/>
    <xf numFmtId="0" fontId="5" fillId="0" borderId="0" xfId="3" applyFont="1" applyAlignment="1">
      <alignment horizontal="left"/>
    </xf>
    <xf numFmtId="166" fontId="0" fillId="9" borderId="0" xfId="0" applyNumberFormat="1" applyFill="1"/>
    <xf numFmtId="0" fontId="14" fillId="10" borderId="0" xfId="0" applyFont="1" applyFill="1"/>
    <xf numFmtId="0" fontId="19"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68" fontId="0" fillId="0" borderId="0" xfId="0" applyNumberFormat="1"/>
    <xf numFmtId="169" fontId="0" fillId="0" borderId="0" xfId="0" applyNumberFormat="1"/>
    <xf numFmtId="0" fontId="0" fillId="0" borderId="13" xfId="0" applyBorder="1"/>
    <xf numFmtId="0" fontId="0" fillId="14"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Alignment="1">
      <alignment horizontal="left"/>
    </xf>
    <xf numFmtId="0" fontId="4" fillId="0" borderId="8" xfId="3" applyBorder="1" applyAlignment="1">
      <alignment horizontal="left"/>
    </xf>
    <xf numFmtId="0" fontId="0" fillId="14" borderId="13" xfId="0" applyFill="1" applyBorder="1"/>
    <xf numFmtId="0" fontId="0" fillId="0" borderId="19" xfId="0" applyBorder="1"/>
    <xf numFmtId="0" fontId="0" fillId="14"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4"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4"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4"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15" fillId="16" borderId="0" xfId="0" applyFon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2"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2" fillId="16" borderId="0" xfId="3" applyFont="1" applyFill="1" applyAlignment="1" applyProtection="1">
      <alignment horizontal="right"/>
      <protection hidden="1"/>
    </xf>
    <xf numFmtId="0" fontId="0" fillId="16" borderId="6" xfId="0" applyFill="1" applyBorder="1" applyProtection="1">
      <protection hidden="1"/>
    </xf>
    <xf numFmtId="0" fontId="12" fillId="16" borderId="5" xfId="0" applyFont="1" applyFill="1" applyBorder="1" applyProtection="1">
      <protection hidden="1"/>
    </xf>
    <xf numFmtId="0" fontId="12" fillId="16" borderId="0" xfId="0" applyFont="1" applyFill="1" applyProtection="1">
      <protection hidden="1"/>
    </xf>
    <xf numFmtId="0" fontId="12" fillId="16" borderId="0" xfId="0" applyFont="1" applyFill="1" applyAlignment="1" applyProtection="1">
      <alignment horizontal="right"/>
      <protection hidden="1"/>
    </xf>
    <xf numFmtId="0" fontId="12" fillId="16" borderId="7" xfId="0" applyFont="1" applyFill="1" applyBorder="1" applyProtection="1">
      <protection hidden="1"/>
    </xf>
    <xf numFmtId="0" fontId="12" fillId="16" borderId="8" xfId="0" applyFont="1" applyFill="1" applyBorder="1" applyProtection="1">
      <protection hidden="1"/>
    </xf>
    <xf numFmtId="0" fontId="0" fillId="16" borderId="8" xfId="0" applyFill="1" applyBorder="1" applyProtection="1">
      <protection hidden="1"/>
    </xf>
    <xf numFmtId="0" fontId="12" fillId="16" borderId="8" xfId="0" applyFont="1" applyFill="1" applyBorder="1" applyAlignment="1" applyProtection="1">
      <alignment horizontal="right"/>
      <protection hidden="1"/>
    </xf>
    <xf numFmtId="0" fontId="0" fillId="16" borderId="9" xfId="0" applyFill="1" applyBorder="1" applyProtection="1">
      <protection hidden="1"/>
    </xf>
    <xf numFmtId="0" fontId="12" fillId="16" borderId="2" xfId="0" applyFont="1" applyFill="1" applyBorder="1" applyProtection="1">
      <protection hidden="1"/>
    </xf>
    <xf numFmtId="0" fontId="12" fillId="16" borderId="3" xfId="0" applyFont="1" applyFill="1" applyBorder="1" applyProtection="1">
      <protection hidden="1"/>
    </xf>
    <xf numFmtId="0" fontId="0" fillId="16" borderId="7" xfId="0" applyFill="1" applyBorder="1" applyProtection="1">
      <protection hidden="1"/>
    </xf>
    <xf numFmtId="0" fontId="12" fillId="16" borderId="8" xfId="3" applyFont="1" applyFill="1" applyBorder="1" applyAlignment="1" applyProtection="1">
      <alignment horizontal="right"/>
      <protection hidden="1"/>
    </xf>
    <xf numFmtId="0" fontId="16" fillId="16" borderId="6" xfId="0" applyFont="1" applyFill="1" applyBorder="1" applyProtection="1">
      <protection hidden="1"/>
    </xf>
    <xf numFmtId="0" fontId="0" fillId="16" borderId="8" xfId="0" applyFill="1" applyBorder="1" applyAlignment="1" applyProtection="1">
      <alignment horizontal="right"/>
      <protection hidden="1"/>
    </xf>
    <xf numFmtId="0" fontId="16" fillId="16" borderId="9" xfId="0" applyFont="1" applyFill="1" applyBorder="1" applyProtection="1">
      <protection hidden="1"/>
    </xf>
    <xf numFmtId="0" fontId="0" fillId="16" borderId="3" xfId="0" applyFill="1" applyBorder="1" applyAlignment="1" applyProtection="1">
      <alignment horizontal="right"/>
      <protection hidden="1"/>
    </xf>
    <xf numFmtId="0" fontId="15" fillId="16" borderId="2" xfId="0" applyFont="1" applyFill="1" applyBorder="1" applyProtection="1">
      <protection hidden="1"/>
    </xf>
    <xf numFmtId="0" fontId="14" fillId="16" borderId="3" xfId="0" applyFont="1" applyFill="1" applyBorder="1" applyAlignment="1" applyProtection="1">
      <alignment horizontal="right"/>
      <protection hidden="1"/>
    </xf>
    <xf numFmtId="0" fontId="15" fillId="16" borderId="5" xfId="0" applyFont="1" applyFill="1" applyBorder="1" applyProtection="1">
      <protection hidden="1"/>
    </xf>
    <xf numFmtId="0" fontId="22" fillId="16" borderId="0" xfId="0" applyFont="1" applyFill="1" applyAlignment="1" applyProtection="1">
      <alignment horizontal="right"/>
      <protection hidden="1"/>
    </xf>
    <xf numFmtId="0" fontId="0" fillId="0" borderId="0" xfId="0" applyProtection="1">
      <protection hidden="1"/>
    </xf>
    <xf numFmtId="0" fontId="0" fillId="16" borderId="0" xfId="0" applyFill="1" applyAlignment="1" applyProtection="1">
      <alignment horizontal="center"/>
      <protection hidden="1"/>
    </xf>
    <xf numFmtId="0" fontId="0" fillId="16" borderId="6" xfId="0" applyFill="1" applyBorder="1" applyAlignment="1" applyProtection="1">
      <alignment horizontal="center"/>
      <protection hidden="1"/>
    </xf>
    <xf numFmtId="1" fontId="0" fillId="16" borderId="0" xfId="0" applyNumberFormat="1" applyFill="1" applyProtection="1">
      <protection hidden="1"/>
    </xf>
    <xf numFmtId="0" fontId="27"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30" fillId="16" borderId="0" xfId="0" applyFont="1" applyFill="1" applyAlignment="1" applyProtection="1">
      <alignment horizontal="left"/>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4" fillId="15" borderId="0" xfId="0" applyFont="1" applyFill="1" applyProtection="1">
      <protection hidden="1"/>
    </xf>
    <xf numFmtId="0" fontId="34" fillId="16"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6" borderId="25" xfId="0" applyNumberFormat="1" applyFill="1" applyBorder="1" applyProtection="1">
      <protection hidden="1"/>
    </xf>
    <xf numFmtId="0" fontId="0" fillId="16" borderId="25" xfId="0" applyFill="1" applyBorder="1" applyProtection="1">
      <protection hidden="1"/>
    </xf>
    <xf numFmtId="164" fontId="0" fillId="0" borderId="25" xfId="0" applyNumberFormat="1" applyBorder="1" applyProtection="1">
      <protection hidden="1"/>
    </xf>
    <xf numFmtId="2" fontId="0" fillId="0" borderId="26" xfId="0" applyNumberFormat="1" applyBorder="1" applyProtection="1">
      <protection hidden="1"/>
    </xf>
    <xf numFmtId="1" fontId="0" fillId="16" borderId="25" xfId="0" applyNumberFormat="1" applyFill="1" applyBorder="1" applyProtection="1">
      <protection hidden="1"/>
    </xf>
    <xf numFmtId="2" fontId="0" fillId="16" borderId="26" xfId="0" applyNumberFormat="1" applyFill="1" applyBorder="1" applyProtection="1">
      <protection hidden="1"/>
    </xf>
    <xf numFmtId="0" fontId="0" fillId="7" borderId="26" xfId="0" applyFill="1" applyBorder="1" applyProtection="1">
      <protection locked="0" hidden="1"/>
    </xf>
    <xf numFmtId="2" fontId="0" fillId="0" borderId="25" xfId="0" applyNumberFormat="1" applyBorder="1" applyProtection="1">
      <protection hidden="1"/>
    </xf>
    <xf numFmtId="2" fontId="0" fillId="0" borderId="24" xfId="0" applyNumberFormat="1" applyBorder="1" applyProtection="1">
      <protection hidden="1"/>
    </xf>
    <xf numFmtId="1" fontId="0" fillId="0" borderId="26" xfId="0" applyNumberFormat="1" applyBorder="1" applyProtection="1">
      <protection hidden="1"/>
    </xf>
    <xf numFmtId="0" fontId="0" fillId="7" borderId="24" xfId="0" applyFill="1" applyBorder="1" applyAlignment="1" applyProtection="1">
      <alignment vertical="top"/>
      <protection hidden="1"/>
    </xf>
    <xf numFmtId="0" fontId="0" fillId="0" borderId="25" xfId="0" applyBorder="1" applyAlignment="1" applyProtection="1">
      <alignment vertical="top"/>
      <protection hidden="1"/>
    </xf>
    <xf numFmtId="0" fontId="0" fillId="16" borderId="25" xfId="0" applyFill="1" applyBorder="1" applyAlignment="1" applyProtection="1">
      <alignment horizontal="center"/>
      <protection hidden="1"/>
    </xf>
    <xf numFmtId="1" fontId="0" fillId="16" borderId="7" xfId="0" applyNumberFormat="1" applyFill="1" applyBorder="1" applyProtection="1">
      <protection hidden="1"/>
    </xf>
    <xf numFmtId="0" fontId="0" fillId="7" borderId="23" xfId="0" applyFill="1" applyBorder="1" applyProtection="1">
      <protection locked="0" hidden="1"/>
    </xf>
    <xf numFmtId="2" fontId="0" fillId="16" borderId="10" xfId="0" applyNumberFormat="1" applyFill="1" applyBorder="1" applyProtection="1">
      <protection hidden="1"/>
    </xf>
    <xf numFmtId="0" fontId="0" fillId="0" borderId="24" xfId="0" applyBorder="1" applyProtection="1">
      <protection hidden="1"/>
    </xf>
    <xf numFmtId="0" fontId="16" fillId="16" borderId="23" xfId="0" applyFont="1" applyFill="1" applyBorder="1" applyAlignment="1" applyProtection="1">
      <alignment horizontal="left"/>
      <protection hidden="1"/>
    </xf>
    <xf numFmtId="0" fontId="0" fillId="16" borderId="26" xfId="0" applyFill="1" applyBorder="1" applyAlignment="1" applyProtection="1">
      <alignment horizontal="left"/>
      <protection hidden="1"/>
    </xf>
    <xf numFmtId="48" fontId="0" fillId="0" borderId="0" xfId="0" applyNumberFormat="1"/>
    <xf numFmtId="0" fontId="0" fillId="7" borderId="26" xfId="0" applyFill="1" applyBorder="1" applyAlignment="1" applyProtection="1">
      <alignment horizontal="right"/>
      <protection locked="0" hidden="1"/>
    </xf>
    <xf numFmtId="0" fontId="3" fillId="3" borderId="0" xfId="3" applyFont="1" applyFill="1" applyAlignment="1">
      <alignment horizontal="right"/>
    </xf>
    <xf numFmtId="2" fontId="0" fillId="9" borderId="0" xfId="0" applyNumberFormat="1" applyFill="1" applyAlignment="1">
      <alignment horizontal="right"/>
    </xf>
    <xf numFmtId="168" fontId="0" fillId="16" borderId="10" xfId="0" applyNumberFormat="1" applyFill="1" applyBorder="1" applyProtection="1">
      <protection hidden="1"/>
    </xf>
    <xf numFmtId="1" fontId="0" fillId="16" borderId="26" xfId="0" applyNumberFormat="1" applyFill="1" applyBorder="1" applyProtection="1">
      <protection hidden="1"/>
    </xf>
    <xf numFmtId="4" fontId="0" fillId="16" borderId="25" xfId="0" applyNumberFormat="1" applyFill="1" applyBorder="1" applyProtection="1">
      <protection hidden="1"/>
    </xf>
    <xf numFmtId="0" fontId="36" fillId="0" borderId="0" xfId="0" applyFont="1"/>
    <xf numFmtId="0" fontId="37" fillId="0" borderId="0" xfId="0" applyFont="1" applyAlignment="1">
      <alignment horizontal="center"/>
    </xf>
    <xf numFmtId="0" fontId="37" fillId="0" borderId="0" xfId="0" applyFont="1" applyAlignment="1">
      <alignment horizontal="left"/>
    </xf>
    <xf numFmtId="0" fontId="38" fillId="0" borderId="0" xfId="0" applyFont="1"/>
    <xf numFmtId="0" fontId="39" fillId="0" borderId="0" xfId="8" applyFont="1" applyFill="1" applyBorder="1" applyAlignment="1">
      <alignment vertical="center"/>
    </xf>
    <xf numFmtId="0" fontId="39" fillId="0" borderId="0" xfId="8" applyFont="1" applyFill="1" applyBorder="1" applyAlignment="1">
      <alignment horizontal="right" vertical="center"/>
    </xf>
    <xf numFmtId="0" fontId="36" fillId="0" borderId="0" xfId="0" applyFont="1" applyAlignment="1">
      <alignment horizontal="center"/>
    </xf>
    <xf numFmtId="0" fontId="36" fillId="0" borderId="0" xfId="0" applyFont="1" applyAlignment="1">
      <alignment horizontal="left"/>
    </xf>
    <xf numFmtId="0" fontId="38" fillId="0" borderId="0" xfId="0" applyFont="1" applyAlignment="1">
      <alignment horizontal="center"/>
    </xf>
    <xf numFmtId="0" fontId="3" fillId="0" borderId="0" xfId="0" applyFont="1"/>
    <xf numFmtId="0" fontId="40" fillId="17" borderId="0" xfId="0" applyFont="1" applyFill="1" applyAlignment="1">
      <alignment horizontal="center"/>
    </xf>
    <xf numFmtId="0" fontId="41" fillId="0" borderId="0" xfId="8" applyFont="1" applyFill="1" applyBorder="1" applyAlignment="1">
      <alignment vertical="center"/>
    </xf>
    <xf numFmtId="49" fontId="38" fillId="0" borderId="0" xfId="0" applyNumberFormat="1" applyFont="1" applyAlignment="1">
      <alignment horizontal="center"/>
    </xf>
    <xf numFmtId="49" fontId="37" fillId="0" borderId="0" xfId="0" applyNumberFormat="1" applyFont="1" applyAlignment="1">
      <alignment horizontal="left"/>
    </xf>
    <xf numFmtId="0" fontId="5" fillId="0" borderId="0" xfId="3" applyFont="1" applyAlignment="1" applyProtection="1">
      <alignment horizontal="center"/>
      <protection hidden="1"/>
    </xf>
    <xf numFmtId="0" fontId="5" fillId="3" borderId="0" xfId="3" applyFont="1" applyFill="1" applyAlignment="1" applyProtection="1">
      <alignment horizontal="center"/>
      <protection hidden="1"/>
    </xf>
    <xf numFmtId="0" fontId="4" fillId="0" borderId="0" xfId="3" applyProtection="1">
      <protection hidden="1"/>
    </xf>
    <xf numFmtId="0" fontId="5" fillId="4" borderId="0" xfId="3" applyFont="1" applyFill="1" applyAlignment="1" applyProtection="1">
      <alignment horizontal="center"/>
      <protection hidden="1"/>
    </xf>
    <xf numFmtId="0" fontId="5" fillId="0" borderId="0" xfId="3" applyFont="1" applyAlignment="1" applyProtection="1">
      <alignment horizontal="right"/>
      <protection hidden="1"/>
    </xf>
    <xf numFmtId="0" fontId="4" fillId="0" borderId="0" xfId="3" applyAlignment="1" applyProtection="1">
      <alignment horizontal="center"/>
      <protection hidden="1"/>
    </xf>
    <xf numFmtId="0" fontId="5" fillId="0" borderId="0" xfId="3" applyFont="1" applyAlignment="1" applyProtection="1">
      <alignment horizontal="left"/>
      <protection hidden="1"/>
    </xf>
    <xf numFmtId="0" fontId="5" fillId="5" borderId="0" xfId="3" applyFont="1" applyFill="1" applyAlignment="1" applyProtection="1">
      <alignment horizontal="center"/>
      <protection hidden="1"/>
    </xf>
    <xf numFmtId="0" fontId="0" fillId="0" borderId="10" xfId="0" applyBorder="1" applyProtection="1">
      <protection hidden="1"/>
    </xf>
    <xf numFmtId="0" fontId="0" fillId="0" borderId="12" xfId="0" applyBorder="1" applyProtection="1">
      <protection hidden="1"/>
    </xf>
    <xf numFmtId="0" fontId="0" fillId="0" borderId="5" xfId="0" applyBorder="1" applyProtection="1">
      <protection hidden="1"/>
    </xf>
    <xf numFmtId="0" fontId="0" fillId="0" borderId="6" xfId="0" applyBorder="1" applyProtection="1">
      <protection hidden="1"/>
    </xf>
    <xf numFmtId="0" fontId="5" fillId="0" borderId="0" xfId="3" applyFont="1" applyProtection="1">
      <protection hidden="1"/>
    </xf>
    <xf numFmtId="0" fontId="4" fillId="0" borderId="5" xfId="3" applyBorder="1" applyProtection="1">
      <protection hidden="1"/>
    </xf>
    <xf numFmtId="0" fontId="4" fillId="0" borderId="6" xfId="3" applyBorder="1" applyProtection="1">
      <protection hidden="1"/>
    </xf>
    <xf numFmtId="164" fontId="4" fillId="0" borderId="11" xfId="3" applyNumberFormat="1" applyBorder="1" applyProtection="1">
      <protection hidden="1"/>
    </xf>
    <xf numFmtId="0" fontId="4" fillId="0" borderId="11" xfId="3" applyBorder="1" applyProtection="1">
      <protection hidden="1"/>
    </xf>
    <xf numFmtId="0" fontId="0" fillId="0" borderId="11" xfId="0" applyBorder="1" applyProtection="1">
      <protection hidden="1"/>
    </xf>
    <xf numFmtId="0" fontId="4" fillId="0" borderId="10" xfId="3" applyBorder="1" applyProtection="1">
      <protection hidden="1"/>
    </xf>
    <xf numFmtId="164" fontId="0" fillId="0" borderId="11" xfId="0" applyNumberFormat="1" applyBorder="1" applyProtection="1">
      <protection hidden="1"/>
    </xf>
    <xf numFmtId="0" fontId="26" fillId="0" borderId="0" xfId="3" applyFont="1" applyProtection="1">
      <protection hidden="1"/>
    </xf>
    <xf numFmtId="0" fontId="0" fillId="0" borderId="2" xfId="0" applyBorder="1" applyProtection="1">
      <protection hidden="1"/>
    </xf>
    <xf numFmtId="1" fontId="0" fillId="0" borderId="4" xfId="0" applyNumberFormat="1" applyBorder="1" applyProtection="1">
      <protection hidden="1"/>
    </xf>
    <xf numFmtId="164" fontId="4" fillId="0" borderId="3" xfId="3" applyNumberFormat="1" applyBorder="1" applyProtection="1">
      <protection hidden="1"/>
    </xf>
    <xf numFmtId="0" fontId="4" fillId="0" borderId="3" xfId="3" applyBorder="1" applyProtection="1">
      <protection hidden="1"/>
    </xf>
    <xf numFmtId="0" fontId="0" fillId="0" borderId="3" xfId="0" applyBorder="1" applyProtection="1">
      <protection hidden="1"/>
    </xf>
    <xf numFmtId="0" fontId="4" fillId="0" borderId="2" xfId="3" applyBorder="1" applyProtection="1">
      <protection hidden="1"/>
    </xf>
    <xf numFmtId="164" fontId="0" fillId="0" borderId="3" xfId="0" applyNumberFormat="1" applyBorder="1" applyProtection="1">
      <protection hidden="1"/>
    </xf>
    <xf numFmtId="0" fontId="0" fillId="0" borderId="4" xfId="0" applyBorder="1" applyProtection="1">
      <protection hidden="1"/>
    </xf>
    <xf numFmtId="0" fontId="0" fillId="10" borderId="0" xfId="0" applyFill="1" applyProtection="1">
      <protection hidden="1"/>
    </xf>
    <xf numFmtId="1" fontId="0" fillId="0" borderId="6" xfId="0" applyNumberFormat="1" applyBorder="1" applyProtection="1">
      <protection hidden="1"/>
    </xf>
    <xf numFmtId="164" fontId="4" fillId="0" borderId="0" xfId="3" applyNumberFormat="1" applyProtection="1">
      <protection hidden="1"/>
    </xf>
    <xf numFmtId="164" fontId="0" fillId="0" borderId="0" xfId="0" applyNumberFormat="1" applyProtection="1">
      <protection hidden="1"/>
    </xf>
    <xf numFmtId="0" fontId="0" fillId="0" borderId="7" xfId="0" applyBorder="1" applyProtection="1">
      <protection hidden="1"/>
    </xf>
    <xf numFmtId="1" fontId="0" fillId="0" borderId="9" xfId="0" applyNumberFormat="1" applyBorder="1" applyProtection="1">
      <protection hidden="1"/>
    </xf>
    <xf numFmtId="164" fontId="4" fillId="0" borderId="8" xfId="3" applyNumberFormat="1" applyBorder="1" applyProtection="1">
      <protection hidden="1"/>
    </xf>
    <xf numFmtId="0" fontId="4" fillId="0" borderId="8" xfId="3" applyBorder="1" applyProtection="1">
      <protection hidden="1"/>
    </xf>
    <xf numFmtId="0" fontId="0" fillId="0" borderId="8" xfId="0" applyBorder="1" applyProtection="1">
      <protection hidden="1"/>
    </xf>
    <xf numFmtId="0" fontId="4" fillId="0" borderId="7" xfId="3" applyBorder="1" applyProtection="1">
      <protection hidden="1"/>
    </xf>
    <xf numFmtId="164" fontId="0" fillId="0" borderId="8" xfId="0" applyNumberFormat="1" applyBorder="1" applyProtection="1">
      <protection hidden="1"/>
    </xf>
    <xf numFmtId="0" fontId="0" fillId="0" borderId="9" xfId="0" applyBorder="1" applyProtection="1">
      <protection hidden="1"/>
    </xf>
    <xf numFmtId="2" fontId="0" fillId="0" borderId="0" xfId="0" applyNumberFormat="1" applyProtection="1">
      <protection hidden="1"/>
    </xf>
    <xf numFmtId="0" fontId="25" fillId="0" borderId="0" xfId="0" applyFont="1" applyProtection="1">
      <protection hidden="1"/>
    </xf>
    <xf numFmtId="2" fontId="0" fillId="0" borderId="10" xfId="0" applyNumberFormat="1" applyBorder="1" applyProtection="1">
      <protection hidden="1"/>
    </xf>
    <xf numFmtId="2" fontId="0" fillId="0" borderId="5" xfId="0" applyNumberFormat="1" applyBorder="1" applyProtection="1">
      <protection hidden="1"/>
    </xf>
    <xf numFmtId="2" fontId="0" fillId="0" borderId="7" xfId="0" applyNumberFormat="1" applyBorder="1" applyProtection="1">
      <protection hidden="1"/>
    </xf>
    <xf numFmtId="0" fontId="4" fillId="0" borderId="9" xfId="3" applyBorder="1" applyProtection="1">
      <protection hidden="1"/>
    </xf>
    <xf numFmtId="0" fontId="0" fillId="12" borderId="0" xfId="0" applyFill="1" applyProtection="1">
      <protection hidden="1"/>
    </xf>
    <xf numFmtId="0" fontId="16" fillId="0" borderId="0" xfId="0" applyFont="1" applyProtection="1">
      <protection hidden="1"/>
    </xf>
    <xf numFmtId="0" fontId="0" fillId="11" borderId="0" xfId="0" applyFill="1" applyProtection="1">
      <protection hidden="1"/>
    </xf>
    <xf numFmtId="164" fontId="0" fillId="9" borderId="0" xfId="0" applyNumberFormat="1" applyFill="1" applyProtection="1">
      <protection hidden="1"/>
    </xf>
    <xf numFmtId="1" fontId="0" fillId="9" borderId="0" xfId="0" applyNumberFormat="1" applyFill="1" applyProtection="1">
      <protection hidden="1"/>
    </xf>
    <xf numFmtId="2" fontId="0" fillId="9" borderId="0" xfId="0" applyNumberFormat="1" applyFill="1" applyProtection="1">
      <protection hidden="1"/>
    </xf>
    <xf numFmtId="0" fontId="0" fillId="9" borderId="0" xfId="0" applyFill="1" applyProtection="1">
      <protection hidden="1"/>
    </xf>
    <xf numFmtId="0" fontId="24" fillId="0" borderId="0" xfId="0" applyFont="1" applyProtection="1">
      <protection hidden="1"/>
    </xf>
    <xf numFmtId="0" fontId="0" fillId="19" borderId="0" xfId="0" applyFill="1"/>
    <xf numFmtId="0" fontId="0" fillId="0" borderId="5" xfId="0" applyBorder="1"/>
    <xf numFmtId="0" fontId="5" fillId="0" borderId="0" xfId="0" applyFont="1"/>
    <xf numFmtId="2" fontId="3" fillId="0" borderId="0" xfId="0" quotePrefix="1" applyNumberFormat="1" applyFont="1"/>
    <xf numFmtId="0" fontId="0" fillId="0" borderId="0" xfId="0" applyAlignment="1">
      <alignment horizontal="left"/>
    </xf>
    <xf numFmtId="0" fontId="5" fillId="0" borderId="0" xfId="0" applyFont="1" applyAlignment="1">
      <alignment horizontal="left"/>
    </xf>
    <xf numFmtId="164" fontId="0" fillId="0" borderId="26" xfId="0" applyNumberFormat="1" applyBorder="1" applyAlignment="1" applyProtection="1">
      <alignment horizontal="right"/>
      <protection hidden="1"/>
    </xf>
    <xf numFmtId="168" fontId="0" fillId="16" borderId="25" xfId="0" applyNumberFormat="1" applyFill="1" applyBorder="1" applyProtection="1">
      <protection hidden="1"/>
    </xf>
    <xf numFmtId="0" fontId="0" fillId="0" borderId="27" xfId="0" applyBorder="1"/>
    <xf numFmtId="0" fontId="0" fillId="0" borderId="28" xfId="0" applyBorder="1"/>
    <xf numFmtId="0" fontId="0" fillId="0" borderId="24" xfId="0" applyBorder="1"/>
    <xf numFmtId="0" fontId="4" fillId="0" borderId="25" xfId="3" applyBorder="1"/>
    <xf numFmtId="2" fontId="4" fillId="0" borderId="25" xfId="3" applyNumberFormat="1" applyBorder="1" applyAlignment="1">
      <alignment horizontal="center"/>
    </xf>
    <xf numFmtId="0" fontId="38" fillId="0" borderId="0" xfId="0" applyFont="1" applyAlignment="1">
      <alignment wrapText="1"/>
    </xf>
    <xf numFmtId="48" fontId="0" fillId="9" borderId="0" xfId="0" applyNumberFormat="1" applyFill="1"/>
    <xf numFmtId="0" fontId="35" fillId="8" borderId="0" xfId="8" applyFill="1" applyBorder="1" applyAlignment="1" applyProtection="1">
      <alignment horizontal="center"/>
      <protection hidden="1"/>
    </xf>
    <xf numFmtId="0" fontId="6" fillId="2" borderId="0" xfId="3" applyFont="1" applyFill="1" applyAlignment="1">
      <alignment horizontal="center"/>
    </xf>
    <xf numFmtId="0" fontId="5" fillId="0" borderId="0" xfId="3" applyFont="1" applyAlignment="1">
      <alignment horizontal="center"/>
    </xf>
    <xf numFmtId="0" fontId="0" fillId="0" borderId="20"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6" fillId="2" borderId="0" xfId="3" applyFont="1" applyFill="1" applyAlignment="1" applyProtection="1">
      <alignment horizontal="center"/>
      <protection hidden="1"/>
    </xf>
    <xf numFmtId="0" fontId="5" fillId="0" borderId="0" xfId="3" applyFont="1" applyAlignment="1" applyProtection="1">
      <alignment horizontal="center"/>
      <protection hidden="1"/>
    </xf>
    <xf numFmtId="0" fontId="4" fillId="0" borderId="0" xfId="3" applyAlignment="1" applyProtection="1">
      <alignment horizontal="center"/>
      <protection hidden="1"/>
    </xf>
    <xf numFmtId="0" fontId="0" fillId="0" borderId="0" xfId="0" applyAlignment="1" applyProtection="1">
      <alignment horizontal="center"/>
      <protection hidden="1"/>
    </xf>
    <xf numFmtId="0" fontId="22" fillId="0" borderId="11" xfId="0" applyFont="1" applyBorder="1" applyAlignment="1" applyProtection="1">
      <alignment horizontal="center"/>
      <protection hidden="1"/>
    </xf>
    <xf numFmtId="0" fontId="22" fillId="0" borderId="12" xfId="0" applyFont="1" applyBorder="1" applyAlignment="1" applyProtection="1">
      <alignment horizontal="center"/>
      <protection hidden="1"/>
    </xf>
    <xf numFmtId="0" fontId="22" fillId="0" borderId="10" xfId="0" applyFont="1" applyBorder="1" applyAlignment="1" applyProtection="1">
      <alignment horizontal="center"/>
      <protection hidden="1"/>
    </xf>
    <xf numFmtId="0" fontId="0" fillId="0" borderId="5" xfId="0" applyBorder="1" applyAlignment="1" applyProtection="1">
      <alignment horizontal="center"/>
      <protection hidden="1"/>
    </xf>
    <xf numFmtId="0" fontId="0" fillId="0" borderId="6" xfId="0" applyBorder="1" applyAlignment="1" applyProtection="1">
      <alignment horizontal="center"/>
      <protection hidden="1"/>
    </xf>
    <xf numFmtId="0" fontId="36" fillId="0" borderId="0" xfId="0" applyFont="1" applyAlignment="1">
      <alignment horizontal="center"/>
    </xf>
    <xf numFmtId="0" fontId="36" fillId="18" borderId="0" xfId="0" applyFont="1" applyFill="1" applyAlignment="1">
      <alignment horizontal="center"/>
    </xf>
    <xf numFmtId="0" fontId="40" fillId="17" borderId="0" xfId="0" applyFont="1" applyFill="1" applyAlignment="1">
      <alignment horizontal="left"/>
    </xf>
    <xf numFmtId="0" fontId="38" fillId="0" borderId="0" xfId="0" applyFont="1" applyAlignment="1">
      <alignment horizontal="left"/>
    </xf>
    <xf numFmtId="0" fontId="38" fillId="0" borderId="0" xfId="0" applyFont="1" applyAlignment="1">
      <alignment wrapText="1"/>
    </xf>
  </cellXfs>
  <cellStyles count="9">
    <cellStyle name="Comma 2" xfId="5" xr:uid="{00000000-0005-0000-0000-000000000000}"/>
    <cellStyle name="Comma 3" xfId="2" xr:uid="{00000000-0005-0000-0000-000001000000}"/>
    <cellStyle name="Hyperlink" xfId="8" builtinId="8"/>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11">
    <dxf>
      <fill>
        <patternFill>
          <bgColor rgb="FFFF0000"/>
        </patternFill>
      </fill>
    </dxf>
    <dxf>
      <fill>
        <patternFill>
          <bgColor rgb="FFFF0000"/>
        </patternFill>
      </fill>
    </dxf>
    <dxf>
      <font>
        <color rgb="FFC00000"/>
      </font>
      <fill>
        <patternFill>
          <bgColor theme="5" tint="0.59996337778862885"/>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C000"/>
        </patternFill>
      </fill>
    </dxf>
    <dxf>
      <fill>
        <patternFill>
          <bgColor rgb="FFFF0000"/>
        </patternFill>
      </fill>
    </dxf>
  </dxfs>
  <tableStyles count="0" defaultTableStyle="TableStyleMedium2" defaultPivotStyle="PivotStyleLight16"/>
  <colors>
    <mruColors>
      <color rgb="FF9C0006"/>
      <color rgb="FFFFC7CE"/>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0-2470-421C-8EF3-DF4BAC2DF802}"/>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470-421C-8EF3-DF4BAC2DF802}"/>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70-421C-8EF3-DF4BAC2DF802}"/>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0</c:v>
                </c:pt>
              </c:numCache>
            </c:numRef>
          </c:xVal>
          <c:yVal>
            <c:numRef>
              <c:f>Loop_Modeling!$AT$11</c:f>
              <c:numCache>
                <c:formatCode>0.000</c:formatCode>
                <c:ptCount val="1"/>
                <c:pt idx="0">
                  <c:v>0</c:v>
                </c:pt>
              </c:numCache>
            </c:numRef>
          </c:yVal>
          <c:smooth val="0"/>
          <c:extLst>
            <c:ext xmlns:c16="http://schemas.microsoft.com/office/drawing/2014/chart" uri="{C3380CC4-5D6E-409C-BE32-E72D297353CC}">
              <c16:uniqueId val="{00000002-2470-421C-8EF3-DF4BAC2DF802}"/>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19972.385015453532</c:v>
                </c:pt>
              </c:numCache>
            </c:numRef>
          </c:xVal>
          <c:yVal>
            <c:numRef>
              <c:f>Loop_Modeling!$AT$9</c:f>
              <c:numCache>
                <c:formatCode>0.000</c:formatCode>
                <c:ptCount val="1"/>
                <c:pt idx="0">
                  <c:v>0</c:v>
                </c:pt>
              </c:numCache>
            </c:numRef>
          </c:yVal>
          <c:smooth val="1"/>
          <c:extLst>
            <c:ext xmlns:c16="http://schemas.microsoft.com/office/drawing/2014/chart" uri="{C3380CC4-5D6E-409C-BE32-E72D297353CC}">
              <c16:uniqueId val="{00000004-2470-421C-8EF3-DF4BAC2DF802}"/>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470-421C-8EF3-DF4BAC2DF802}"/>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0</c:v>
                </c:pt>
              </c:numCache>
            </c:numRef>
          </c:xVal>
          <c:yVal>
            <c:numRef>
              <c:f>Loop_Modeling!$AT$10</c:f>
              <c:numCache>
                <c:formatCode>0.000</c:formatCode>
                <c:ptCount val="1"/>
                <c:pt idx="0">
                  <c:v>0</c:v>
                </c:pt>
              </c:numCache>
            </c:numRef>
          </c:yVal>
          <c:smooth val="1"/>
          <c:extLst>
            <c:ext xmlns:c16="http://schemas.microsoft.com/office/drawing/2014/chart" uri="{C3380CC4-5D6E-409C-BE32-E72D297353CC}">
              <c16:uniqueId val="{00000006-2470-421C-8EF3-DF4BAC2DF802}"/>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470-421C-8EF3-DF4BAC2DF8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723.43155950861512</c:v>
                </c:pt>
              </c:numCache>
            </c:numRef>
          </c:xVal>
          <c:yVal>
            <c:numRef>
              <c:f>Loop_Modeling!$AT$12</c:f>
              <c:numCache>
                <c:formatCode>0.000</c:formatCode>
                <c:ptCount val="1"/>
                <c:pt idx="0">
                  <c:v>0</c:v>
                </c:pt>
              </c:numCache>
            </c:numRef>
          </c:yVal>
          <c:smooth val="1"/>
          <c:extLst>
            <c:ext xmlns:c16="http://schemas.microsoft.com/office/drawing/2014/chart" uri="{C3380CC4-5D6E-409C-BE32-E72D297353CC}">
              <c16:uniqueId val="{00000008-2470-421C-8EF3-DF4BAC2DF802}"/>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470-421C-8EF3-DF4BAC2DF802}"/>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73066.587510370155</c:v>
                </c:pt>
              </c:numCache>
            </c:numRef>
          </c:xVal>
          <c:yVal>
            <c:numRef>
              <c:f>Loop_Modeling!$AT$13</c:f>
              <c:numCache>
                <c:formatCode>0.000</c:formatCode>
                <c:ptCount val="1"/>
                <c:pt idx="0">
                  <c:v>0</c:v>
                </c:pt>
              </c:numCache>
            </c:numRef>
          </c:yVal>
          <c:smooth val="1"/>
          <c:extLst>
            <c:ext xmlns:c16="http://schemas.microsoft.com/office/drawing/2014/chart" uri="{C3380CC4-5D6E-409C-BE32-E72D297353CC}">
              <c16:uniqueId val="{0000000A-2470-421C-8EF3-DF4BAC2DF802}"/>
            </c:ext>
          </c:extLst>
        </c:ser>
        <c:dLbls>
          <c:showLegendKey val="0"/>
          <c:showVal val="0"/>
          <c:showCatName val="0"/>
          <c:showSerName val="0"/>
          <c:showPercent val="0"/>
          <c:showBubbleSize val="0"/>
        </c:dLbls>
        <c:axId val="144369152"/>
        <c:axId val="144371072"/>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B-2470-421C-8EF3-DF4BAC2DF802}"/>
            </c:ext>
          </c:extLst>
        </c:ser>
        <c:dLbls>
          <c:showLegendKey val="0"/>
          <c:showVal val="0"/>
          <c:showCatName val="0"/>
          <c:showSerName val="0"/>
          <c:showPercent val="0"/>
          <c:showBubbleSize val="0"/>
        </c:dLbls>
        <c:axId val="144838016"/>
        <c:axId val="144836096"/>
      </c:scatterChart>
      <c:valAx>
        <c:axId val="144369152"/>
        <c:scaling>
          <c:logBase val="10"/>
          <c:orientation val="minMax"/>
          <c:max val="2000000"/>
          <c:min val="1"/>
        </c:scaling>
        <c:delete val="0"/>
        <c:axPos val="b"/>
        <c:majorGridlines/>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144371072"/>
        <c:crosses val="autoZero"/>
        <c:crossBetween val="midCat"/>
      </c:valAx>
      <c:valAx>
        <c:axId val="144371072"/>
        <c:scaling>
          <c:orientation val="minMax"/>
          <c:max val="60"/>
          <c:min val="-6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144369152"/>
        <c:crosses val="autoZero"/>
        <c:crossBetween val="midCat"/>
        <c:majorUnit val="20"/>
        <c:minorUnit val="10"/>
      </c:valAx>
      <c:valAx>
        <c:axId val="1448360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144838016"/>
        <c:crosses val="max"/>
        <c:crossBetween val="midCat"/>
        <c:majorUnit val="90"/>
        <c:minorUnit val="45"/>
      </c:valAx>
      <c:valAx>
        <c:axId val="144838016"/>
        <c:scaling>
          <c:logBase val="10"/>
          <c:orientation val="minMax"/>
        </c:scaling>
        <c:delete val="1"/>
        <c:axPos val="b"/>
        <c:numFmt formatCode="0.00" sourceLinked="1"/>
        <c:majorTickMark val="out"/>
        <c:minorTickMark val="none"/>
        <c:tickLblPos val="nextTo"/>
        <c:crossAx val="144836096"/>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Eff_vs_IOUT!$AT$7:$AT$157</c:f>
              <c:numCache>
                <c:formatCode>General</c:formatCode>
                <c:ptCount val="151"/>
                <c:pt idx="0">
                  <c:v>0</c:v>
                </c:pt>
                <c:pt idx="1">
                  <c:v>6.4061697565850713</c:v>
                </c:pt>
                <c:pt idx="2">
                  <c:v>11.980919438793599</c:v>
                </c:pt>
                <c:pt idx="3">
                  <c:v>16.875422583621468</c:v>
                </c:pt>
                <c:pt idx="4">
                  <c:v>21.206484631719597</c:v>
                </c:pt>
                <c:pt idx="5">
                  <c:v>25.065695678558132</c:v>
                </c:pt>
                <c:pt idx="6">
                  <c:v>28.525859592137582</c:v>
                </c:pt>
                <c:pt idx="7">
                  <c:v>31.645563724395259</c:v>
                </c:pt>
                <c:pt idx="8">
                  <c:v>34.47248113536174</c:v>
                </c:pt>
                <c:pt idx="9">
                  <c:v>37.045795284278874</c:v>
                </c:pt>
                <c:pt idx="10">
                  <c:v>39.398006886791848</c:v>
                </c:pt>
                <c:pt idx="11">
                  <c:v>41.556298745489748</c:v>
                </c:pt>
                <c:pt idx="12">
                  <c:v>43.543579578254253</c:v>
                </c:pt>
                <c:pt idx="13">
                  <c:v>45.379291497555236</c:v>
                </c:pt>
                <c:pt idx="14">
                  <c:v>47.080041243267189</c:v>
                </c:pt>
                <c:pt idx="15">
                  <c:v>48.660098436384907</c:v>
                </c:pt>
                <c:pt idx="16">
                  <c:v>50.131792404267529</c:v>
                </c:pt>
                <c:pt idx="17">
                  <c:v>51.505830860079016</c:v>
                </c:pt>
                <c:pt idx="18">
                  <c:v>52.894433029730003</c:v>
                </c:pt>
                <c:pt idx="19">
                  <c:v>54.107205256214371</c:v>
                </c:pt>
                <c:pt idx="20">
                  <c:v>55.246830835789552</c:v>
                </c:pt>
                <c:pt idx="21">
                  <c:v>56.319673990567289</c:v>
                </c:pt>
                <c:pt idx="22">
                  <c:v>57.331381476401397</c:v>
                </c:pt>
                <c:pt idx="23">
                  <c:v>58.286980915348522</c:v>
                </c:pt>
                <c:pt idx="24">
                  <c:v>59.190963387236387</c:v>
                </c:pt>
                <c:pt idx="25">
                  <c:v>60.047353143684091</c:v>
                </c:pt>
                <c:pt idx="26">
                  <c:v>60.859766727731589</c:v>
                </c:pt>
                <c:pt idx="27">
                  <c:v>61.631463331037338</c:v>
                </c:pt>
                <c:pt idx="28">
                  <c:v>62.365387867298196</c:v>
                </c:pt>
                <c:pt idx="29">
                  <c:v>63.064207962090457</c:v>
                </c:pt>
                <c:pt idx="30">
                  <c:v>63.730345838511816</c:v>
                </c:pt>
                <c:pt idx="31">
                  <c:v>64.366005901862906</c:v>
                </c:pt>
                <c:pt idx="32">
                  <c:v>64.973198685321549</c:v>
                </c:pt>
                <c:pt idx="33">
                  <c:v>65.553761704633402</c:v>
                </c:pt>
                <c:pt idx="34">
                  <c:v>66.109377677508334</c:v>
                </c:pt>
                <c:pt idx="35">
                  <c:v>66.641590488218171</c:v>
                </c:pt>
                <c:pt idx="36">
                  <c:v>67.151819216374378</c:v>
                </c:pt>
                <c:pt idx="37">
                  <c:v>67.641370498314728</c:v>
                </c:pt>
                <c:pt idx="38">
                  <c:v>68.111449447815303</c:v>
                </c:pt>
                <c:pt idx="39">
                  <c:v>68.56316932828507</c:v>
                </c:pt>
                <c:pt idx="40">
                  <c:v>68.997560139856091</c:v>
                </c:pt>
                <c:pt idx="41">
                  <c:v>69.4155762607881</c:v>
                </c:pt>
                <c:pt idx="42">
                  <c:v>69.818103262501836</c:v>
                </c:pt>
                <c:pt idx="43">
                  <c:v>70.205964000657303</c:v>
                </c:pt>
                <c:pt idx="44">
                  <c:v>70.57992407043831</c:v>
                </c:pt>
                <c:pt idx="45">
                  <c:v>70.940696702145175</c:v>
                </c:pt>
                <c:pt idx="46">
                  <c:v>71.288947162961989</c:v>
                </c:pt>
                <c:pt idx="47">
                  <c:v>71.625296722052724</c:v>
                </c:pt>
                <c:pt idx="48">
                  <c:v>71.950326228703048</c:v>
                </c:pt>
                <c:pt idx="49">
                  <c:v>72.264579346859946</c:v>
                </c:pt>
                <c:pt idx="50">
                  <c:v>72.568565483957144</c:v>
                </c:pt>
                <c:pt idx="51">
                  <c:v>72.862762447214038</c:v>
                </c:pt>
                <c:pt idx="52">
                  <c:v>73.147618856541612</c:v>
                </c:pt>
                <c:pt idx="53">
                  <c:v>73.423556339682364</c:v>
                </c:pt>
                <c:pt idx="54">
                  <c:v>73.690971532173606</c:v>
                </c:pt>
                <c:pt idx="55">
                  <c:v>73.950237902084694</c:v>
                </c:pt>
                <c:pt idx="56">
                  <c:v>74.201707417181353</c:v>
                </c:pt>
                <c:pt idx="57">
                  <c:v>74.445712070166692</c:v>
                </c:pt>
                <c:pt idx="58">
                  <c:v>74.682565275897232</c:v>
                </c:pt>
                <c:pt idx="59">
                  <c:v>74.912563152937935</c:v>
                </c:pt>
                <c:pt idx="60">
                  <c:v>75.135985700474421</c:v>
                </c:pt>
                <c:pt idx="61">
                  <c:v>75.353097880416954</c:v>
                </c:pt>
                <c:pt idx="62">
                  <c:v>75.564150613488408</c:v>
                </c:pt>
                <c:pt idx="63">
                  <c:v>75.769381697169194</c:v>
                </c:pt>
                <c:pt idx="64">
                  <c:v>75.969016652558437</c:v>
                </c:pt>
                <c:pt idx="65">
                  <c:v>76.163269506491901</c:v>
                </c:pt>
                <c:pt idx="66">
                  <c:v>76.352343514618411</c:v>
                </c:pt>
                <c:pt idx="67">
                  <c:v>76.53643183057028</c:v>
                </c:pt>
                <c:pt idx="68">
                  <c:v>76.715718125858416</c:v>
                </c:pt>
                <c:pt idx="69">
                  <c:v>76.890377164674092</c:v>
                </c:pt>
                <c:pt idx="70">
                  <c:v>77.060575337378793</c:v>
                </c:pt>
                <c:pt idx="71">
                  <c:v>77.226471156104438</c:v>
                </c:pt>
                <c:pt idx="72">
                  <c:v>77.388215715567682</c:v>
                </c:pt>
                <c:pt idx="73">
                  <c:v>77.545953121913101</c:v>
                </c:pt>
                <c:pt idx="74">
                  <c:v>77.699820892143933</c:v>
                </c:pt>
                <c:pt idx="75">
                  <c:v>77.849950326467138</c:v>
                </c:pt>
                <c:pt idx="76">
                  <c:v>77.996466855671727</c:v>
                </c:pt>
                <c:pt idx="77">
                  <c:v>78.139490365471673</c:v>
                </c:pt>
                <c:pt idx="78">
                  <c:v>78.279135499576327</c:v>
                </c:pt>
                <c:pt idx="79">
                  <c:v>78.41551194309821</c:v>
                </c:pt>
                <c:pt idx="80">
                  <c:v>78.548724687770715</c:v>
                </c:pt>
                <c:pt idx="81">
                  <c:v>78.678874280323228</c:v>
                </c:pt>
                <c:pt idx="82">
                  <c:v>78.80605705524863</c:v>
                </c:pt>
                <c:pt idx="83">
                  <c:v>78.93036535309534</c:v>
                </c:pt>
                <c:pt idx="84">
                  <c:v>79.051887725323652</c:v>
                </c:pt>
                <c:pt idx="85">
                  <c:v>79.170709126680975</c:v>
                </c:pt>
                <c:pt idx="86">
                  <c:v>79.286911095974645</c:v>
                </c:pt>
                <c:pt idx="87">
                  <c:v>79.400571926050063</c:v>
                </c:pt>
                <c:pt idx="88">
                  <c:v>79.511766823719427</c:v>
                </c:pt>
                <c:pt idx="89">
                  <c:v>79.620568060326775</c:v>
                </c:pt>
                <c:pt idx="90">
                  <c:v>79.72704511358323</c:v>
                </c:pt>
                <c:pt idx="91">
                  <c:v>79.831264801257134</c:v>
                </c:pt>
                <c:pt idx="92">
                  <c:v>79.933291407259688</c:v>
                </c:pt>
                <c:pt idx="93">
                  <c:v>80.033186800625813</c:v>
                </c:pt>
                <c:pt idx="94">
                  <c:v>80.131010547853222</c:v>
                </c:pt>
                <c:pt idx="95">
                  <c:v>80.226820019028111</c:v>
                </c:pt>
                <c:pt idx="96">
                  <c:v>80.320670488134638</c:v>
                </c:pt>
                <c:pt idx="97">
                  <c:v>80.412615227917087</c:v>
                </c:pt>
                <c:pt idx="98">
                  <c:v>80.502705599636286</c:v>
                </c:pt>
                <c:pt idx="99">
                  <c:v>80.590991138038277</c:v>
                </c:pt>
                <c:pt idx="100">
                  <c:v>80.677519631830577</c:v>
                </c:pt>
                <c:pt idx="101">
                  <c:v>80.762337199940646</c:v>
                </c:pt>
                <c:pt idx="102">
                  <c:v>80.845488363812308</c:v>
                </c:pt>
                <c:pt idx="103">
                  <c:v>80.927016115977906</c:v>
                </c:pt>
                <c:pt idx="104">
                  <c:v>81.006961985128797</c:v>
                </c:pt>
                <c:pt idx="105">
                  <c:v>81.085366097890159</c:v>
                </c:pt>
                <c:pt idx="106">
                  <c:v>81.162267237494035</c:v>
                </c:pt>
                <c:pt idx="107">
                  <c:v>81.237702899530177</c:v>
                </c:pt>
                <c:pt idx="108">
                  <c:v>81.311709344943566</c:v>
                </c:pt>
                <c:pt idx="109">
                  <c:v>81.384321650435581</c:v>
                </c:pt>
                <c:pt idx="110">
                  <c:v>81.455573756416214</c:v>
                </c:pt>
                <c:pt idx="111">
                  <c:v>81.525498512645072</c:v>
                </c:pt>
                <c:pt idx="112">
                  <c:v>81.594127721689901</c:v>
                </c:pt>
                <c:pt idx="113">
                  <c:v>81.66149218032362</c:v>
                </c:pt>
                <c:pt idx="114">
                  <c:v>81.727621718972969</c:v>
                </c:pt>
                <c:pt idx="115">
                  <c:v>81.792545239324824</c:v>
                </c:pt>
                <c:pt idx="116">
                  <c:v>81.856290750190112</c:v>
                </c:pt>
                <c:pt idx="117">
                  <c:v>81.91888540171837</c:v>
                </c:pt>
                <c:pt idx="118">
                  <c:v>81.980355518050999</c:v>
                </c:pt>
                <c:pt idx="119">
                  <c:v>82.040726628495861</c:v>
                </c:pt>
                <c:pt idx="120">
                  <c:v>82.100023497300299</c:v>
                </c:pt>
                <c:pt idx="121">
                  <c:v>82.158270152095966</c:v>
                </c:pt>
                <c:pt idx="122">
                  <c:v>82.215489911084035</c:v>
                </c:pt>
                <c:pt idx="123">
                  <c:v>82.271705409024975</c:v>
                </c:pt>
                <c:pt idx="124">
                  <c:v>82.326938622094488</c:v>
                </c:pt>
                <c:pt idx="125">
                  <c:v>82.38121089166215</c:v>
                </c:pt>
                <c:pt idx="126">
                  <c:v>82.43454294704739</c:v>
                </c:pt>
                <c:pt idx="127">
                  <c:v>82.486954927303444</c:v>
                </c:pt>
                <c:pt idx="128">
                  <c:v>82.538466402077688</c:v>
                </c:pt>
                <c:pt idx="129">
                  <c:v>82.589096391593159</c:v>
                </c:pt>
                <c:pt idx="130">
                  <c:v>82.638863385794949</c:v>
                </c:pt>
                <c:pt idx="131">
                  <c:v>82.68778536270105</c:v>
                </c:pt>
                <c:pt idx="132">
                  <c:v>82.735879805996831</c:v>
                </c:pt>
                <c:pt idx="133">
                  <c:v>82.783163721908366</c:v>
                </c:pt>
                <c:pt idx="134">
                  <c:v>82.829653655389663</c:v>
                </c:pt>
                <c:pt idx="135">
                  <c:v>82.875365705655597</c:v>
                </c:pt>
                <c:pt idx="136">
                  <c:v>82.920315541091426</c:v>
                </c:pt>
                <c:pt idx="137">
                  <c:v>82.964518413567831</c:v>
                </c:pt>
                <c:pt idx="138">
                  <c:v>83.007989172188957</c:v>
                </c:pt>
                <c:pt idx="139">
                  <c:v>83.050742276499477</c:v>
                </c:pt>
                <c:pt idx="140">
                  <c:v>83.092791809175353</c:v>
                </c:pt>
                <c:pt idx="141">
                  <c:v>83.134151488221704</c:v>
                </c:pt>
                <c:pt idx="142">
                  <c:v>83.174834678699995</c:v>
                </c:pt>
                <c:pt idx="143">
                  <c:v>83.21485440400545</c:v>
                </c:pt>
                <c:pt idx="144">
                  <c:v>83.254223356714903</c:v>
                </c:pt>
                <c:pt idx="145">
                  <c:v>83.29295390902405</c:v>
                </c:pt>
                <c:pt idx="146">
                  <c:v>83.331058122791717</c:v>
                </c:pt>
                <c:pt idx="147">
                  <c:v>83.36854775920898</c:v>
                </c:pt>
                <c:pt idx="148">
                  <c:v>83.405434288108694</c:v>
                </c:pt>
                <c:pt idx="149">
                  <c:v>83.441728896931508</c:v>
                </c:pt>
                <c:pt idx="150">
                  <c:v>83.477442499362624</c:v>
                </c:pt>
              </c:numCache>
            </c:numRef>
          </c:yVal>
          <c:smooth val="0"/>
          <c:extLst>
            <c:ext xmlns:c16="http://schemas.microsoft.com/office/drawing/2014/chart" uri="{C3380CC4-5D6E-409C-BE32-E72D297353CC}">
              <c16:uniqueId val="{00000000-EBB2-49C9-A014-1F538461E4EA}"/>
            </c:ext>
          </c:extLst>
        </c:ser>
        <c:dLbls>
          <c:showLegendKey val="0"/>
          <c:showVal val="0"/>
          <c:showCatName val="0"/>
          <c:showSerName val="0"/>
          <c:showPercent val="0"/>
          <c:showBubbleSize val="0"/>
        </c:dLbls>
        <c:axId val="144893056"/>
        <c:axId val="14489459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Eff_vs_IOUT!$AI$7:$AI$157</c:f>
              <c:numCache>
                <c:formatCode>General</c:formatCode>
                <c:ptCount val="151"/>
                <c:pt idx="0">
                  <c:v>0</c:v>
                </c:pt>
                <c:pt idx="1">
                  <c:v>3.3525116441776824E-3</c:v>
                </c:pt>
                <c:pt idx="2">
                  <c:v>6.7087725576077343E-3</c:v>
                </c:pt>
                <c:pt idx="3">
                  <c:v>1.0067474209635417E-2</c:v>
                </c:pt>
                <c:pt idx="4">
                  <c:v>1.3428149650066846E-2</c:v>
                </c:pt>
                <c:pt idx="5">
                  <c:v>1.6790529007475699E-2</c:v>
                </c:pt>
                <c:pt idx="6">
                  <c:v>2.015443019377991E-2</c:v>
                </c:pt>
                <c:pt idx="7">
                  <c:v>2.3519719533486499E-2</c:v>
                </c:pt>
                <c:pt idx="8">
                  <c:v>2.6886293454152648E-2</c:v>
                </c:pt>
                <c:pt idx="9">
                  <c:v>3.0254068627701674E-2</c:v>
                </c:pt>
                <c:pt idx="10">
                  <c:v>3.3622976119522641E-2</c:v>
                </c:pt>
                <c:pt idx="11">
                  <c:v>3.699295766438012E-2</c:v>
                </c:pt>
                <c:pt idx="12">
                  <c:v>4.0363963167019484E-2</c:v>
                </c:pt>
                <c:pt idx="13">
                  <c:v>4.3735948953396636E-2</c:v>
                </c:pt>
                <c:pt idx="14">
                  <c:v>4.7108876505252931E-2</c:v>
                </c:pt>
                <c:pt idx="15">
                  <c:v>5.0482711518667615E-2</c:v>
                </c:pt>
                <c:pt idx="16">
                  <c:v>5.3857423187116324E-2</c:v>
                </c:pt>
                <c:pt idx="17">
                  <c:v>5.7232983644538299E-2</c:v>
                </c:pt>
                <c:pt idx="18">
                  <c:v>6.0670949104779236E-2</c:v>
                </c:pt>
                <c:pt idx="19">
                  <c:v>6.4055906431235168E-2</c:v>
                </c:pt>
                <c:pt idx="20">
                  <c:v>6.7442862214481231E-2</c:v>
                </c:pt>
                <c:pt idx="21">
                  <c:v>7.0831816454517416E-2</c:v>
                </c:pt>
                <c:pt idx="22">
                  <c:v>7.4222769151343723E-2</c:v>
                </c:pt>
                <c:pt idx="23">
                  <c:v>7.7615720304960154E-2</c:v>
                </c:pt>
                <c:pt idx="24">
                  <c:v>8.1010669915366693E-2</c:v>
                </c:pt>
                <c:pt idx="25">
                  <c:v>8.4407617982563382E-2</c:v>
                </c:pt>
                <c:pt idx="26">
                  <c:v>8.780656450655018E-2</c:v>
                </c:pt>
                <c:pt idx="27">
                  <c:v>9.1207509487327101E-2</c:v>
                </c:pt>
                <c:pt idx="28">
                  <c:v>9.4610452924894131E-2</c:v>
                </c:pt>
                <c:pt idx="29">
                  <c:v>9.8015394819251311E-2</c:v>
                </c:pt>
                <c:pt idx="30">
                  <c:v>0.10142233517039866</c:v>
                </c:pt>
                <c:pt idx="31">
                  <c:v>0.10483127397833604</c:v>
                </c:pt>
                <c:pt idx="32">
                  <c:v>0.10824221124306357</c:v>
                </c:pt>
                <c:pt idx="33">
                  <c:v>0.11165514696458126</c:v>
                </c:pt>
                <c:pt idx="34">
                  <c:v>0.11507008114288904</c:v>
                </c:pt>
                <c:pt idx="35">
                  <c:v>0.11848701377798697</c:v>
                </c:pt>
                <c:pt idx="36">
                  <c:v>0.12190594486987501</c:v>
                </c:pt>
                <c:pt idx="37">
                  <c:v>0.12532687441855314</c:v>
                </c:pt>
                <c:pt idx="38">
                  <c:v>0.12874980242402145</c:v>
                </c:pt>
                <c:pt idx="39">
                  <c:v>0.13217472888627985</c:v>
                </c:pt>
                <c:pt idx="40">
                  <c:v>0.1356016538053284</c:v>
                </c:pt>
                <c:pt idx="41">
                  <c:v>0.13903057718116704</c:v>
                </c:pt>
                <c:pt idx="42">
                  <c:v>0.14246149901379582</c:v>
                </c:pt>
                <c:pt idx="43">
                  <c:v>0.14589441930321467</c:v>
                </c:pt>
                <c:pt idx="44">
                  <c:v>0.14932933804942375</c:v>
                </c:pt>
                <c:pt idx="45">
                  <c:v>0.15276625525242288</c:v>
                </c:pt>
                <c:pt idx="46">
                  <c:v>0.15620517091221214</c:v>
                </c:pt>
                <c:pt idx="47">
                  <c:v>0.15964608502879155</c:v>
                </c:pt>
                <c:pt idx="48">
                  <c:v>0.16308899760216106</c:v>
                </c:pt>
                <c:pt idx="49">
                  <c:v>0.16653390863232068</c:v>
                </c:pt>
                <c:pt idx="50">
                  <c:v>0.16998081811927049</c:v>
                </c:pt>
                <c:pt idx="51">
                  <c:v>0.17342972606301035</c:v>
                </c:pt>
                <c:pt idx="52">
                  <c:v>0.17688063246354035</c:v>
                </c:pt>
                <c:pt idx="53">
                  <c:v>0.18033353732086052</c:v>
                </c:pt>
                <c:pt idx="54">
                  <c:v>0.18378844063497074</c:v>
                </c:pt>
                <c:pt idx="55">
                  <c:v>0.18724534240587118</c:v>
                </c:pt>
                <c:pt idx="56">
                  <c:v>0.19070424263356159</c:v>
                </c:pt>
                <c:pt idx="57">
                  <c:v>0.19416514131804224</c:v>
                </c:pt>
                <c:pt idx="58">
                  <c:v>0.19762803845931301</c:v>
                </c:pt>
                <c:pt idx="59">
                  <c:v>0.20109293405737391</c:v>
                </c:pt>
                <c:pt idx="60">
                  <c:v>0.20455982811222495</c:v>
                </c:pt>
                <c:pt idx="61">
                  <c:v>0.20802872062386601</c:v>
                </c:pt>
                <c:pt idx="62">
                  <c:v>0.21149961159229724</c:v>
                </c:pt>
                <c:pt idx="63">
                  <c:v>0.21497250101751855</c:v>
                </c:pt>
                <c:pt idx="64">
                  <c:v>0.21844738889953011</c:v>
                </c:pt>
                <c:pt idx="65">
                  <c:v>0.22192427523833178</c:v>
                </c:pt>
                <c:pt idx="66">
                  <c:v>0.22540316003392349</c:v>
                </c:pt>
                <c:pt idx="67">
                  <c:v>0.22888404328630535</c:v>
                </c:pt>
                <c:pt idx="68">
                  <c:v>0.23236692499547734</c:v>
                </c:pt>
                <c:pt idx="69">
                  <c:v>0.2358518051614395</c:v>
                </c:pt>
                <c:pt idx="70">
                  <c:v>0.23933868378419171</c:v>
                </c:pt>
                <c:pt idx="71">
                  <c:v>0.24282756086373403</c:v>
                </c:pt>
                <c:pt idx="72">
                  <c:v>0.24631843640006656</c:v>
                </c:pt>
                <c:pt idx="73">
                  <c:v>0.24981131039318913</c:v>
                </c:pt>
                <c:pt idx="74">
                  <c:v>0.25330618284310186</c:v>
                </c:pt>
                <c:pt idx="75">
                  <c:v>0.25680305374980467</c:v>
                </c:pt>
                <c:pt idx="76">
                  <c:v>0.2603019231132977</c:v>
                </c:pt>
                <c:pt idx="77">
                  <c:v>0.26380279093358078</c:v>
                </c:pt>
                <c:pt idx="78">
                  <c:v>0.26730565721065402</c:v>
                </c:pt>
                <c:pt idx="79">
                  <c:v>0.27081052194451738</c:v>
                </c:pt>
                <c:pt idx="80">
                  <c:v>0.27431738513517084</c:v>
                </c:pt>
                <c:pt idx="81">
                  <c:v>0.27782624678261436</c:v>
                </c:pt>
                <c:pt idx="82">
                  <c:v>0.28133710688684815</c:v>
                </c:pt>
                <c:pt idx="83">
                  <c:v>0.28484996544787194</c:v>
                </c:pt>
                <c:pt idx="84">
                  <c:v>0.28836482246568595</c:v>
                </c:pt>
                <c:pt idx="85">
                  <c:v>0.29188167794029002</c:v>
                </c:pt>
                <c:pt idx="86">
                  <c:v>0.29540053187168419</c:v>
                </c:pt>
                <c:pt idx="87">
                  <c:v>0.29892138425986858</c:v>
                </c:pt>
                <c:pt idx="88">
                  <c:v>0.30244423510484303</c:v>
                </c:pt>
                <c:pt idx="89">
                  <c:v>0.30596908440660764</c:v>
                </c:pt>
                <c:pt idx="90">
                  <c:v>0.3094959321651623</c:v>
                </c:pt>
                <c:pt idx="91">
                  <c:v>0.31302477838050713</c:v>
                </c:pt>
                <c:pt idx="92">
                  <c:v>0.31655562305264207</c:v>
                </c:pt>
                <c:pt idx="93">
                  <c:v>0.32008846618156711</c:v>
                </c:pt>
                <c:pt idx="94">
                  <c:v>0.32362330776728232</c:v>
                </c:pt>
                <c:pt idx="95">
                  <c:v>0.32716014780978764</c:v>
                </c:pt>
                <c:pt idx="96">
                  <c:v>0.33069898630908307</c:v>
                </c:pt>
                <c:pt idx="97">
                  <c:v>0.33423982326516866</c:v>
                </c:pt>
                <c:pt idx="98">
                  <c:v>0.33778265867804436</c:v>
                </c:pt>
                <c:pt idx="99">
                  <c:v>0.34132749254771017</c:v>
                </c:pt>
                <c:pt idx="100">
                  <c:v>0.34487432487416614</c:v>
                </c:pt>
                <c:pt idx="101">
                  <c:v>0.34842315565741222</c:v>
                </c:pt>
                <c:pt idx="102">
                  <c:v>0.35197398489744836</c:v>
                </c:pt>
                <c:pt idx="103">
                  <c:v>0.35552681259427471</c:v>
                </c:pt>
                <c:pt idx="104">
                  <c:v>0.35908163874789112</c:v>
                </c:pt>
                <c:pt idx="105">
                  <c:v>0.36263846335829764</c:v>
                </c:pt>
                <c:pt idx="106">
                  <c:v>0.36619728642549437</c:v>
                </c:pt>
                <c:pt idx="107">
                  <c:v>0.36975810794948122</c:v>
                </c:pt>
                <c:pt idx="108">
                  <c:v>0.37332092793025806</c:v>
                </c:pt>
                <c:pt idx="109">
                  <c:v>0.37688574636782507</c:v>
                </c:pt>
                <c:pt idx="110">
                  <c:v>0.38045256326218235</c:v>
                </c:pt>
                <c:pt idx="111">
                  <c:v>0.38402137861332958</c:v>
                </c:pt>
                <c:pt idx="112">
                  <c:v>0.38759219242126691</c:v>
                </c:pt>
                <c:pt idx="113">
                  <c:v>0.39116500468599458</c:v>
                </c:pt>
                <c:pt idx="114">
                  <c:v>0.39473981540751213</c:v>
                </c:pt>
                <c:pt idx="115">
                  <c:v>0.39831662458581996</c:v>
                </c:pt>
                <c:pt idx="116">
                  <c:v>0.40189543222091784</c:v>
                </c:pt>
                <c:pt idx="117">
                  <c:v>0.40547623831280594</c:v>
                </c:pt>
                <c:pt idx="118">
                  <c:v>0.40905904286148409</c:v>
                </c:pt>
                <c:pt idx="119">
                  <c:v>0.41264384586695235</c:v>
                </c:pt>
                <c:pt idx="120">
                  <c:v>0.41623064732921089</c:v>
                </c:pt>
                <c:pt idx="121">
                  <c:v>0.41981944724825937</c:v>
                </c:pt>
                <c:pt idx="122">
                  <c:v>0.42341024562409796</c:v>
                </c:pt>
                <c:pt idx="123">
                  <c:v>0.42700304245672682</c:v>
                </c:pt>
                <c:pt idx="124">
                  <c:v>0.43059783774614563</c:v>
                </c:pt>
                <c:pt idx="125">
                  <c:v>0.43419463149235465</c:v>
                </c:pt>
                <c:pt idx="126">
                  <c:v>0.43779342369535368</c:v>
                </c:pt>
                <c:pt idx="127">
                  <c:v>0.44139421435514309</c:v>
                </c:pt>
                <c:pt idx="128">
                  <c:v>0.44499700347172244</c:v>
                </c:pt>
                <c:pt idx="129">
                  <c:v>0.44860179104509196</c:v>
                </c:pt>
                <c:pt idx="130">
                  <c:v>0.45220857707525169</c:v>
                </c:pt>
                <c:pt idx="131">
                  <c:v>0.45581736156220148</c:v>
                </c:pt>
                <c:pt idx="132">
                  <c:v>0.45942814450594127</c:v>
                </c:pt>
                <c:pt idx="133">
                  <c:v>0.46304092590647128</c:v>
                </c:pt>
                <c:pt idx="134">
                  <c:v>0.46665570576379145</c:v>
                </c:pt>
                <c:pt idx="135">
                  <c:v>0.47027248407790179</c:v>
                </c:pt>
                <c:pt idx="136">
                  <c:v>0.47389126084880207</c:v>
                </c:pt>
                <c:pt idx="137">
                  <c:v>0.47751203607649262</c:v>
                </c:pt>
                <c:pt idx="138">
                  <c:v>0.48113480976097328</c:v>
                </c:pt>
                <c:pt idx="139">
                  <c:v>0.48475958190224394</c:v>
                </c:pt>
                <c:pt idx="140">
                  <c:v>0.48838635250030493</c:v>
                </c:pt>
                <c:pt idx="141">
                  <c:v>0.49201512155515581</c:v>
                </c:pt>
                <c:pt idx="142">
                  <c:v>0.49564588906679691</c:v>
                </c:pt>
                <c:pt idx="143">
                  <c:v>0.49927865503522817</c:v>
                </c:pt>
                <c:pt idx="144">
                  <c:v>0.50291341946044965</c:v>
                </c:pt>
                <c:pt idx="145">
                  <c:v>0.50655018234246108</c:v>
                </c:pt>
                <c:pt idx="146">
                  <c:v>0.51018894368126266</c:v>
                </c:pt>
                <c:pt idx="147">
                  <c:v>0.51382970347685442</c:v>
                </c:pt>
                <c:pt idx="148">
                  <c:v>0.51747246172923622</c:v>
                </c:pt>
                <c:pt idx="149">
                  <c:v>0.52111721843840819</c:v>
                </c:pt>
                <c:pt idx="150">
                  <c:v>0.52476397360437033</c:v>
                </c:pt>
              </c:numCache>
            </c:numRef>
          </c:yVal>
          <c:smooth val="1"/>
          <c:extLst>
            <c:ext xmlns:c16="http://schemas.microsoft.com/office/drawing/2014/chart" uri="{C3380CC4-5D6E-409C-BE32-E72D297353CC}">
              <c16:uniqueId val="{00000001-EBB2-49C9-A014-1F538461E4EA}"/>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Eff_vs_IOUT!$AN$7:$AN$157</c:f>
              <c:numCache>
                <c:formatCode>General</c:formatCode>
                <c:ptCount val="151"/>
                <c:pt idx="0">
                  <c:v>0.59752000000000005</c:v>
                </c:pt>
                <c:pt idx="1">
                  <c:v>0.59778666666666669</c:v>
                </c:pt>
                <c:pt idx="2">
                  <c:v>0.59805333333333344</c:v>
                </c:pt>
                <c:pt idx="3">
                  <c:v>0.59832000000000007</c:v>
                </c:pt>
                <c:pt idx="4">
                  <c:v>0.59858666666666671</c:v>
                </c:pt>
                <c:pt idx="5">
                  <c:v>0.59885333333333335</c:v>
                </c:pt>
                <c:pt idx="6">
                  <c:v>0.5991200000000001</c:v>
                </c:pt>
                <c:pt idx="7">
                  <c:v>0.59938666666666673</c:v>
                </c:pt>
                <c:pt idx="8">
                  <c:v>0.59965333333333337</c:v>
                </c:pt>
                <c:pt idx="9">
                  <c:v>0.59992000000000001</c:v>
                </c:pt>
                <c:pt idx="10">
                  <c:v>0.60018666666666676</c:v>
                </c:pt>
                <c:pt idx="11">
                  <c:v>0.60045333333333339</c:v>
                </c:pt>
                <c:pt idx="12">
                  <c:v>0.60072000000000003</c:v>
                </c:pt>
                <c:pt idx="13">
                  <c:v>0.60098666666666667</c:v>
                </c:pt>
                <c:pt idx="14">
                  <c:v>0.60125333333333342</c:v>
                </c:pt>
                <c:pt idx="15">
                  <c:v>0.60152000000000005</c:v>
                </c:pt>
                <c:pt idx="16">
                  <c:v>0.60178666666666669</c:v>
                </c:pt>
                <c:pt idx="17">
                  <c:v>0.60205333333333333</c:v>
                </c:pt>
                <c:pt idx="18">
                  <c:v>0.60232000000000008</c:v>
                </c:pt>
                <c:pt idx="19">
                  <c:v>0.60258666666666671</c:v>
                </c:pt>
                <c:pt idx="20">
                  <c:v>0.60285333333333335</c:v>
                </c:pt>
                <c:pt idx="21">
                  <c:v>0.6031200000000001</c:v>
                </c:pt>
                <c:pt idx="22">
                  <c:v>0.60338666666666674</c:v>
                </c:pt>
                <c:pt idx="23">
                  <c:v>0.60365333333333338</c:v>
                </c:pt>
                <c:pt idx="24">
                  <c:v>0.60392000000000001</c:v>
                </c:pt>
                <c:pt idx="25">
                  <c:v>0.60418666666666676</c:v>
                </c:pt>
                <c:pt idx="26">
                  <c:v>0.6044533333333334</c:v>
                </c:pt>
                <c:pt idx="27">
                  <c:v>0.60472000000000004</c:v>
                </c:pt>
                <c:pt idx="28">
                  <c:v>0.60498666666666667</c:v>
                </c:pt>
                <c:pt idx="29">
                  <c:v>0.60525333333333342</c:v>
                </c:pt>
                <c:pt idx="30">
                  <c:v>0.60552000000000006</c:v>
                </c:pt>
                <c:pt idx="31">
                  <c:v>0.6057866666666667</c:v>
                </c:pt>
                <c:pt idx="32">
                  <c:v>0.60605333333333333</c:v>
                </c:pt>
                <c:pt idx="33">
                  <c:v>0.60632000000000008</c:v>
                </c:pt>
                <c:pt idx="34">
                  <c:v>0.60658666666666672</c:v>
                </c:pt>
                <c:pt idx="35">
                  <c:v>0.60685333333333336</c:v>
                </c:pt>
                <c:pt idx="36">
                  <c:v>0.6071200000000001</c:v>
                </c:pt>
                <c:pt idx="37">
                  <c:v>0.60738666666666674</c:v>
                </c:pt>
                <c:pt idx="38">
                  <c:v>0.60765333333333338</c:v>
                </c:pt>
                <c:pt idx="39">
                  <c:v>0.60792000000000002</c:v>
                </c:pt>
                <c:pt idx="40">
                  <c:v>0.60818666666666676</c:v>
                </c:pt>
                <c:pt idx="41">
                  <c:v>0.6084533333333334</c:v>
                </c:pt>
                <c:pt idx="42">
                  <c:v>0.60872000000000004</c:v>
                </c:pt>
                <c:pt idx="43">
                  <c:v>0.60898666666666668</c:v>
                </c:pt>
                <c:pt idx="44">
                  <c:v>0.60925333333333342</c:v>
                </c:pt>
                <c:pt idx="45">
                  <c:v>0.60952000000000006</c:v>
                </c:pt>
                <c:pt idx="46">
                  <c:v>0.6097866666666667</c:v>
                </c:pt>
                <c:pt idx="47">
                  <c:v>0.61005333333333334</c:v>
                </c:pt>
                <c:pt idx="48">
                  <c:v>0.61032000000000008</c:v>
                </c:pt>
                <c:pt idx="49">
                  <c:v>0.61058666666666672</c:v>
                </c:pt>
                <c:pt idx="50">
                  <c:v>0.61085333333333336</c:v>
                </c:pt>
                <c:pt idx="51">
                  <c:v>0.61112000000000011</c:v>
                </c:pt>
                <c:pt idx="52">
                  <c:v>0.61138666666666674</c:v>
                </c:pt>
                <c:pt idx="53">
                  <c:v>0.61165333333333338</c:v>
                </c:pt>
                <c:pt idx="54">
                  <c:v>0.61192000000000002</c:v>
                </c:pt>
                <c:pt idx="55">
                  <c:v>0.61218666666666677</c:v>
                </c:pt>
                <c:pt idx="56">
                  <c:v>0.61245333333333341</c:v>
                </c:pt>
                <c:pt idx="57">
                  <c:v>0.61272000000000004</c:v>
                </c:pt>
                <c:pt idx="58">
                  <c:v>0.61298666666666668</c:v>
                </c:pt>
                <c:pt idx="59">
                  <c:v>0.61325333333333343</c:v>
                </c:pt>
                <c:pt idx="60">
                  <c:v>0.61352000000000007</c:v>
                </c:pt>
                <c:pt idx="61">
                  <c:v>0.6137866666666667</c:v>
                </c:pt>
                <c:pt idx="62">
                  <c:v>0.61405333333333334</c:v>
                </c:pt>
                <c:pt idx="63">
                  <c:v>0.61432000000000009</c:v>
                </c:pt>
                <c:pt idx="64">
                  <c:v>0.61458666666666673</c:v>
                </c:pt>
                <c:pt idx="65">
                  <c:v>0.61485333333333336</c:v>
                </c:pt>
                <c:pt idx="66">
                  <c:v>0.61512</c:v>
                </c:pt>
                <c:pt idx="67">
                  <c:v>0.61538666666666675</c:v>
                </c:pt>
                <c:pt idx="68">
                  <c:v>0.61565333333333339</c:v>
                </c:pt>
                <c:pt idx="69">
                  <c:v>0.61592000000000002</c:v>
                </c:pt>
                <c:pt idx="70">
                  <c:v>0.61618666666666677</c:v>
                </c:pt>
                <c:pt idx="71">
                  <c:v>0.61645333333333341</c:v>
                </c:pt>
                <c:pt idx="72">
                  <c:v>0.61672000000000005</c:v>
                </c:pt>
                <c:pt idx="73">
                  <c:v>0.61698666666666668</c:v>
                </c:pt>
                <c:pt idx="74">
                  <c:v>0.61725333333333343</c:v>
                </c:pt>
                <c:pt idx="75">
                  <c:v>0.61752000000000007</c:v>
                </c:pt>
                <c:pt idx="76">
                  <c:v>0.61778666666666671</c:v>
                </c:pt>
                <c:pt idx="77">
                  <c:v>0.61805333333333334</c:v>
                </c:pt>
                <c:pt idx="78">
                  <c:v>0.61832000000000009</c:v>
                </c:pt>
                <c:pt idx="79">
                  <c:v>0.61858666666666673</c:v>
                </c:pt>
                <c:pt idx="80">
                  <c:v>0.61885333333333337</c:v>
                </c:pt>
                <c:pt idx="81">
                  <c:v>0.61912</c:v>
                </c:pt>
                <c:pt idx="82">
                  <c:v>0.61938666666666675</c:v>
                </c:pt>
                <c:pt idx="83">
                  <c:v>0.61965333333333339</c:v>
                </c:pt>
                <c:pt idx="84">
                  <c:v>0.61992000000000003</c:v>
                </c:pt>
                <c:pt idx="85">
                  <c:v>0.62018666666666666</c:v>
                </c:pt>
                <c:pt idx="86">
                  <c:v>0.62045333333333341</c:v>
                </c:pt>
                <c:pt idx="87">
                  <c:v>0.62072000000000005</c:v>
                </c:pt>
                <c:pt idx="88">
                  <c:v>0.62098666666666669</c:v>
                </c:pt>
                <c:pt idx="89">
                  <c:v>0.62125333333333344</c:v>
                </c:pt>
                <c:pt idx="90">
                  <c:v>0.62152000000000007</c:v>
                </c:pt>
                <c:pt idx="91">
                  <c:v>0.62178666666666671</c:v>
                </c:pt>
                <c:pt idx="92">
                  <c:v>0.62205333333333335</c:v>
                </c:pt>
                <c:pt idx="93">
                  <c:v>0.6223200000000001</c:v>
                </c:pt>
                <c:pt idx="94">
                  <c:v>0.62258666666666673</c:v>
                </c:pt>
                <c:pt idx="95">
                  <c:v>0.62285333333333337</c:v>
                </c:pt>
                <c:pt idx="96">
                  <c:v>0.62312000000000001</c:v>
                </c:pt>
                <c:pt idx="97">
                  <c:v>0.62338666666666676</c:v>
                </c:pt>
                <c:pt idx="98">
                  <c:v>0.62365333333333339</c:v>
                </c:pt>
                <c:pt idx="99">
                  <c:v>0.62392000000000003</c:v>
                </c:pt>
                <c:pt idx="100">
                  <c:v>0.62418666666666667</c:v>
                </c:pt>
                <c:pt idx="101">
                  <c:v>0.62445333333333342</c:v>
                </c:pt>
                <c:pt idx="102">
                  <c:v>0.62472000000000005</c:v>
                </c:pt>
                <c:pt idx="103">
                  <c:v>0.62498666666666669</c:v>
                </c:pt>
                <c:pt idx="104">
                  <c:v>0.62525333333333344</c:v>
                </c:pt>
                <c:pt idx="105">
                  <c:v>0.62552000000000008</c:v>
                </c:pt>
                <c:pt idx="106">
                  <c:v>0.62578666666666671</c:v>
                </c:pt>
                <c:pt idx="107">
                  <c:v>0.62605333333333335</c:v>
                </c:pt>
                <c:pt idx="108">
                  <c:v>0.6263200000000001</c:v>
                </c:pt>
                <c:pt idx="109">
                  <c:v>0.62658666666666674</c:v>
                </c:pt>
                <c:pt idx="110">
                  <c:v>0.62685333333333337</c:v>
                </c:pt>
                <c:pt idx="111">
                  <c:v>0.62712000000000001</c:v>
                </c:pt>
                <c:pt idx="112">
                  <c:v>0.62738666666666676</c:v>
                </c:pt>
                <c:pt idx="113">
                  <c:v>0.6276533333333334</c:v>
                </c:pt>
                <c:pt idx="114">
                  <c:v>0.62792000000000003</c:v>
                </c:pt>
                <c:pt idx="115">
                  <c:v>0.62818666666666667</c:v>
                </c:pt>
                <c:pt idx="116">
                  <c:v>0.62845333333333342</c:v>
                </c:pt>
                <c:pt idx="117">
                  <c:v>0.62872000000000006</c:v>
                </c:pt>
                <c:pt idx="118">
                  <c:v>0.62898666666666669</c:v>
                </c:pt>
                <c:pt idx="119">
                  <c:v>0.62925333333333344</c:v>
                </c:pt>
                <c:pt idx="120">
                  <c:v>0.62952000000000008</c:v>
                </c:pt>
                <c:pt idx="121">
                  <c:v>0.62978666666666672</c:v>
                </c:pt>
                <c:pt idx="122">
                  <c:v>0.63005333333333335</c:v>
                </c:pt>
                <c:pt idx="123">
                  <c:v>0.6303200000000001</c:v>
                </c:pt>
                <c:pt idx="124">
                  <c:v>0.63058666666666674</c:v>
                </c:pt>
                <c:pt idx="125">
                  <c:v>0.63085333333333338</c:v>
                </c:pt>
                <c:pt idx="126">
                  <c:v>0.63112000000000001</c:v>
                </c:pt>
                <c:pt idx="127">
                  <c:v>0.63138666666666676</c:v>
                </c:pt>
                <c:pt idx="128">
                  <c:v>0.6316533333333334</c:v>
                </c:pt>
                <c:pt idx="129">
                  <c:v>0.63192000000000004</c:v>
                </c:pt>
                <c:pt idx="130">
                  <c:v>0.63218666666666667</c:v>
                </c:pt>
                <c:pt idx="131">
                  <c:v>0.63245333333333342</c:v>
                </c:pt>
                <c:pt idx="132">
                  <c:v>0.63272000000000006</c:v>
                </c:pt>
                <c:pt idx="133">
                  <c:v>0.6329866666666667</c:v>
                </c:pt>
                <c:pt idx="134">
                  <c:v>0.63325333333333345</c:v>
                </c:pt>
                <c:pt idx="135">
                  <c:v>0.63352000000000008</c:v>
                </c:pt>
                <c:pt idx="136">
                  <c:v>0.63378666666666672</c:v>
                </c:pt>
                <c:pt idx="137">
                  <c:v>0.63405333333333336</c:v>
                </c:pt>
                <c:pt idx="138">
                  <c:v>0.63432000000000011</c:v>
                </c:pt>
                <c:pt idx="139">
                  <c:v>0.63458666666666674</c:v>
                </c:pt>
                <c:pt idx="140">
                  <c:v>0.63485333333333338</c:v>
                </c:pt>
                <c:pt idx="141">
                  <c:v>0.63512000000000002</c:v>
                </c:pt>
                <c:pt idx="142">
                  <c:v>0.63538666666666677</c:v>
                </c:pt>
                <c:pt idx="143">
                  <c:v>0.6356533333333334</c:v>
                </c:pt>
                <c:pt idx="144">
                  <c:v>0.63592000000000004</c:v>
                </c:pt>
                <c:pt idx="145">
                  <c:v>0.63618666666666668</c:v>
                </c:pt>
                <c:pt idx="146">
                  <c:v>0.63645333333333343</c:v>
                </c:pt>
                <c:pt idx="147">
                  <c:v>0.63672000000000006</c:v>
                </c:pt>
                <c:pt idx="148">
                  <c:v>0.6369866666666667</c:v>
                </c:pt>
                <c:pt idx="149">
                  <c:v>0.63725333333333345</c:v>
                </c:pt>
                <c:pt idx="150">
                  <c:v>0.63752000000000009</c:v>
                </c:pt>
              </c:numCache>
            </c:numRef>
          </c:yVal>
          <c:smooth val="1"/>
          <c:extLst>
            <c:ext xmlns:c16="http://schemas.microsoft.com/office/drawing/2014/chart" uri="{C3380CC4-5D6E-409C-BE32-E72D297353CC}">
              <c16:uniqueId val="{00000002-EBB2-49C9-A014-1F538461E4EA}"/>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Eff_vs_IOUT!$AO$7:$AO$157</c:f>
              <c:numCache>
                <c:formatCode>General</c:formatCode>
                <c:ptCount val="151"/>
                <c:pt idx="0">
                  <c:v>0</c:v>
                </c:pt>
                <c:pt idx="1">
                  <c:v>1.9396150024411013E-6</c:v>
                </c:pt>
                <c:pt idx="2">
                  <c:v>5.4860596844690561E-6</c:v>
                </c:pt>
                <c:pt idx="3">
                  <c:v>1.0078535194052459E-5</c:v>
                </c:pt>
                <c:pt idx="4">
                  <c:v>1.5516920019528814E-5</c:v>
                </c:pt>
                <c:pt idx="5">
                  <c:v>2.1685554978183611E-5</c:v>
                </c:pt>
                <c:pt idx="6">
                  <c:v>2.850640232056708E-5</c:v>
                </c:pt>
                <c:pt idx="7">
                  <c:v>3.5922172549683647E-5</c:v>
                </c:pt>
                <c:pt idx="8">
                  <c:v>4.3888477475752462E-5</c:v>
                </c:pt>
                <c:pt idx="9">
                  <c:v>5.2369605065909742E-5</c:v>
                </c:pt>
                <c:pt idx="10">
                  <c:v>6.1336011915469286E-5</c:v>
                </c:pt>
                <c:pt idx="11">
                  <c:v>7.0762727209255485E-5</c:v>
                </c:pt>
                <c:pt idx="12">
                  <c:v>8.0628281552419658E-5</c:v>
                </c:pt>
                <c:pt idx="13">
                  <c:v>9.0913957497487847E-5</c:v>
                </c:pt>
                <c:pt idx="14">
                  <c:v>1.0160324721933819E-4</c:v>
                </c:pt>
                <c:pt idx="15">
                  <c:v>1.1268144903762666E-4</c:v>
                </c:pt>
                <c:pt idx="16">
                  <c:v>1.2413536015623049E-4</c:v>
                </c:pt>
                <c:pt idx="17">
                  <c:v>1.359530379776543E-4</c:v>
                </c:pt>
                <c:pt idx="18">
                  <c:v>1.7451571700719763E-4</c:v>
                </c:pt>
                <c:pt idx="19">
                  <c:v>1.90360624414605E-4</c:v>
                </c:pt>
                <c:pt idx="20">
                  <c:v>2.0706201330349382E-4</c:v>
                </c:pt>
                <c:pt idx="21">
                  <c:v>2.2461988367386413E-4</c:v>
                </c:pt>
                <c:pt idx="22">
                  <c:v>2.4303423552571616E-4</c:v>
                </c:pt>
                <c:pt idx="23">
                  <c:v>2.6230506885904949E-4</c:v>
                </c:pt>
                <c:pt idx="24">
                  <c:v>2.8243238367386411E-4</c:v>
                </c:pt>
                <c:pt idx="25">
                  <c:v>3.0341617997016061E-4</c:v>
                </c:pt>
                <c:pt idx="26">
                  <c:v>3.2525645774793835E-4</c:v>
                </c:pt>
                <c:pt idx="27">
                  <c:v>3.4795321700719755E-4</c:v>
                </c:pt>
                <c:pt idx="28">
                  <c:v>3.715064577479382E-4</c:v>
                </c:pt>
                <c:pt idx="29">
                  <c:v>3.9591617997016053E-4</c:v>
                </c:pt>
                <c:pt idx="30">
                  <c:v>4.2118238367386431E-4</c:v>
                </c:pt>
                <c:pt idx="31">
                  <c:v>4.4730506885904949E-4</c:v>
                </c:pt>
                <c:pt idx="32">
                  <c:v>4.7428423552571601E-4</c:v>
                </c:pt>
                <c:pt idx="33">
                  <c:v>5.0211988367386453E-4</c:v>
                </c:pt>
                <c:pt idx="34">
                  <c:v>5.308120133034938E-4</c:v>
                </c:pt>
                <c:pt idx="35">
                  <c:v>5.6036062441460518E-4</c:v>
                </c:pt>
                <c:pt idx="36">
                  <c:v>5.907657170071979E-4</c:v>
                </c:pt>
                <c:pt idx="37">
                  <c:v>6.2202729108127176E-4</c:v>
                </c:pt>
                <c:pt idx="38">
                  <c:v>6.5414534663682706E-4</c:v>
                </c:pt>
                <c:pt idx="39">
                  <c:v>6.8711988367386404E-4</c:v>
                </c:pt>
                <c:pt idx="40">
                  <c:v>7.2095090219238313E-4</c:v>
                </c:pt>
                <c:pt idx="41">
                  <c:v>7.5563840219238301E-4</c:v>
                </c:pt>
                <c:pt idx="42">
                  <c:v>7.9118238367386414E-4</c:v>
                </c:pt>
                <c:pt idx="43">
                  <c:v>8.2758284663682694E-4</c:v>
                </c:pt>
                <c:pt idx="44">
                  <c:v>8.6483979108127216E-4</c:v>
                </c:pt>
                <c:pt idx="45">
                  <c:v>9.0295321700719787E-4</c:v>
                </c:pt>
                <c:pt idx="46">
                  <c:v>9.4192312441460492E-4</c:v>
                </c:pt>
                <c:pt idx="47">
                  <c:v>9.8174951330349397E-4</c:v>
                </c:pt>
                <c:pt idx="48">
                  <c:v>1.0224323836738646E-3</c:v>
                </c:pt>
                <c:pt idx="49">
                  <c:v>1.0639717355257164E-3</c:v>
                </c:pt>
                <c:pt idx="50">
                  <c:v>1.1063675688590502E-3</c:v>
                </c:pt>
                <c:pt idx="51">
                  <c:v>1.1496198836738645E-3</c:v>
                </c:pt>
                <c:pt idx="52">
                  <c:v>1.1937286799701607E-3</c:v>
                </c:pt>
                <c:pt idx="53">
                  <c:v>1.2386939577479388E-3</c:v>
                </c:pt>
                <c:pt idx="54">
                  <c:v>1.2845157170071975E-3</c:v>
                </c:pt>
                <c:pt idx="55">
                  <c:v>1.3311939577479385E-3</c:v>
                </c:pt>
                <c:pt idx="56">
                  <c:v>1.3787286799701601E-3</c:v>
                </c:pt>
                <c:pt idx="57">
                  <c:v>1.427119883673864E-3</c:v>
                </c:pt>
                <c:pt idx="58">
                  <c:v>1.4763675688590492E-3</c:v>
                </c:pt>
                <c:pt idx="59">
                  <c:v>1.5264717355257162E-3</c:v>
                </c:pt>
                <c:pt idx="60">
                  <c:v>1.5774323836738652E-3</c:v>
                </c:pt>
                <c:pt idx="61">
                  <c:v>1.6292495133034938E-3</c:v>
                </c:pt>
                <c:pt idx="62">
                  <c:v>1.6819231244146055E-3</c:v>
                </c:pt>
                <c:pt idx="63">
                  <c:v>1.7354532170071972E-3</c:v>
                </c:pt>
                <c:pt idx="64">
                  <c:v>1.7898397910812718E-3</c:v>
                </c:pt>
                <c:pt idx="65">
                  <c:v>1.8450828466368275E-3</c:v>
                </c:pt>
                <c:pt idx="66">
                  <c:v>1.9011823836738639E-3</c:v>
                </c:pt>
                <c:pt idx="67">
                  <c:v>1.958138402192383E-3</c:v>
                </c:pt>
                <c:pt idx="68">
                  <c:v>2.0159509021923832E-3</c:v>
                </c:pt>
                <c:pt idx="69">
                  <c:v>2.0746198836738643E-3</c:v>
                </c:pt>
                <c:pt idx="70">
                  <c:v>2.1341453466368278E-3</c:v>
                </c:pt>
                <c:pt idx="71">
                  <c:v>2.1945272910812719E-3</c:v>
                </c:pt>
                <c:pt idx="72">
                  <c:v>2.2557657170071987E-3</c:v>
                </c:pt>
                <c:pt idx="73">
                  <c:v>2.3178606244146044E-3</c:v>
                </c:pt>
                <c:pt idx="74">
                  <c:v>2.3808120133034932E-3</c:v>
                </c:pt>
                <c:pt idx="75">
                  <c:v>2.4446198836738644E-3</c:v>
                </c:pt>
                <c:pt idx="76">
                  <c:v>2.5092842355257162E-3</c:v>
                </c:pt>
                <c:pt idx="77">
                  <c:v>2.5748050688590494E-3</c:v>
                </c:pt>
                <c:pt idx="78">
                  <c:v>2.6411823836738645E-3</c:v>
                </c:pt>
                <c:pt idx="79">
                  <c:v>2.7084161799701607E-3</c:v>
                </c:pt>
                <c:pt idx="80">
                  <c:v>2.7765064577479391E-3</c:v>
                </c:pt>
                <c:pt idx="81">
                  <c:v>2.8454532170071978E-3</c:v>
                </c:pt>
                <c:pt idx="82">
                  <c:v>2.9152564577479396E-3</c:v>
                </c:pt>
                <c:pt idx="83">
                  <c:v>2.9859161799701607E-3</c:v>
                </c:pt>
                <c:pt idx="84">
                  <c:v>3.0574323836738654E-3</c:v>
                </c:pt>
                <c:pt idx="85">
                  <c:v>3.1298050688590502E-3</c:v>
                </c:pt>
                <c:pt idx="86">
                  <c:v>3.2030342355257166E-3</c:v>
                </c:pt>
                <c:pt idx="87">
                  <c:v>3.2771198836738656E-3</c:v>
                </c:pt>
                <c:pt idx="88">
                  <c:v>3.3520620133034953E-3</c:v>
                </c:pt>
                <c:pt idx="89">
                  <c:v>3.4278606244146068E-3</c:v>
                </c:pt>
                <c:pt idx="90">
                  <c:v>3.5045157170071986E-3</c:v>
                </c:pt>
                <c:pt idx="91">
                  <c:v>3.5820272910812717E-3</c:v>
                </c:pt>
                <c:pt idx="92">
                  <c:v>3.6603953466368272E-3</c:v>
                </c:pt>
                <c:pt idx="93">
                  <c:v>3.739619883673865E-3</c:v>
                </c:pt>
                <c:pt idx="94">
                  <c:v>3.8197009021923825E-3</c:v>
                </c:pt>
                <c:pt idx="95">
                  <c:v>3.9006384021923824E-3</c:v>
                </c:pt>
                <c:pt idx="96">
                  <c:v>3.9824323836738654E-3</c:v>
                </c:pt>
                <c:pt idx="97">
                  <c:v>4.0650828466368286E-3</c:v>
                </c:pt>
                <c:pt idx="98">
                  <c:v>4.1485897910812719E-3</c:v>
                </c:pt>
                <c:pt idx="99">
                  <c:v>4.232953217007198E-3</c:v>
                </c:pt>
                <c:pt idx="100">
                  <c:v>4.318173124414606E-3</c:v>
                </c:pt>
                <c:pt idx="101">
                  <c:v>4.404249513303495E-3</c:v>
                </c:pt>
                <c:pt idx="102">
                  <c:v>4.4911823836738651E-3</c:v>
                </c:pt>
                <c:pt idx="103">
                  <c:v>4.5789717355257161E-3</c:v>
                </c:pt>
                <c:pt idx="104">
                  <c:v>4.6676175688590482E-3</c:v>
                </c:pt>
                <c:pt idx="105">
                  <c:v>4.757119883673863E-3</c:v>
                </c:pt>
                <c:pt idx="106">
                  <c:v>4.8474786799701597E-3</c:v>
                </c:pt>
                <c:pt idx="107">
                  <c:v>4.9386939577479392E-3</c:v>
                </c:pt>
                <c:pt idx="108">
                  <c:v>5.0307657170071979E-3</c:v>
                </c:pt>
                <c:pt idx="109">
                  <c:v>5.1236939577479377E-3</c:v>
                </c:pt>
                <c:pt idx="110">
                  <c:v>5.217478679970162E-3</c:v>
                </c:pt>
                <c:pt idx="111">
                  <c:v>5.3121198836738655E-3</c:v>
                </c:pt>
                <c:pt idx="112">
                  <c:v>5.4076175688590475E-3</c:v>
                </c:pt>
                <c:pt idx="113">
                  <c:v>5.5039717355257166E-3</c:v>
                </c:pt>
                <c:pt idx="114">
                  <c:v>5.6011823836738632E-3</c:v>
                </c:pt>
                <c:pt idx="115">
                  <c:v>5.6992495133034934E-3</c:v>
                </c:pt>
                <c:pt idx="116">
                  <c:v>5.7981731244146056E-3</c:v>
                </c:pt>
                <c:pt idx="117">
                  <c:v>5.8979532170071979E-3</c:v>
                </c:pt>
                <c:pt idx="118">
                  <c:v>5.9985897910812712E-3</c:v>
                </c:pt>
                <c:pt idx="119">
                  <c:v>6.1000828466368246E-3</c:v>
                </c:pt>
                <c:pt idx="120">
                  <c:v>6.202432383673866E-3</c:v>
                </c:pt>
                <c:pt idx="121">
                  <c:v>6.3056384021923841E-3</c:v>
                </c:pt>
                <c:pt idx="122">
                  <c:v>6.4097009021923806E-3</c:v>
                </c:pt>
                <c:pt idx="123">
                  <c:v>6.5146198836738651E-3</c:v>
                </c:pt>
                <c:pt idx="124">
                  <c:v>6.6203953466368254E-3</c:v>
                </c:pt>
                <c:pt idx="125">
                  <c:v>6.7270272910812711E-3</c:v>
                </c:pt>
                <c:pt idx="126">
                  <c:v>6.8345157170071934E-3</c:v>
                </c:pt>
                <c:pt idx="127">
                  <c:v>6.9428606244146028E-3</c:v>
                </c:pt>
                <c:pt idx="128">
                  <c:v>7.0520620133034907E-3</c:v>
                </c:pt>
                <c:pt idx="129">
                  <c:v>7.1621198836738622E-3</c:v>
                </c:pt>
                <c:pt idx="130">
                  <c:v>7.2730342355257155E-3</c:v>
                </c:pt>
                <c:pt idx="131">
                  <c:v>7.3848050688590482E-3</c:v>
                </c:pt>
                <c:pt idx="132">
                  <c:v>7.4974323836738644E-3</c:v>
                </c:pt>
                <c:pt idx="133">
                  <c:v>7.6109161799701609E-3</c:v>
                </c:pt>
                <c:pt idx="134">
                  <c:v>7.7252564577479366E-3</c:v>
                </c:pt>
                <c:pt idx="135">
                  <c:v>7.8404532170071994E-3</c:v>
                </c:pt>
                <c:pt idx="136">
                  <c:v>7.9565064577479354E-3</c:v>
                </c:pt>
                <c:pt idx="137">
                  <c:v>8.0734161799701602E-3</c:v>
                </c:pt>
                <c:pt idx="138">
                  <c:v>8.1911823836738652E-3</c:v>
                </c:pt>
                <c:pt idx="139">
                  <c:v>8.3098050688590486E-3</c:v>
                </c:pt>
                <c:pt idx="140">
                  <c:v>8.4292842355257191E-3</c:v>
                </c:pt>
                <c:pt idx="141">
                  <c:v>8.5496198836738629E-3</c:v>
                </c:pt>
                <c:pt idx="142">
                  <c:v>8.670812013303492E-3</c:v>
                </c:pt>
                <c:pt idx="143">
                  <c:v>8.7928606244146047E-3</c:v>
                </c:pt>
                <c:pt idx="144">
                  <c:v>8.9157657170071958E-3</c:v>
                </c:pt>
                <c:pt idx="145">
                  <c:v>9.0395272910812688E-3</c:v>
                </c:pt>
                <c:pt idx="146">
                  <c:v>9.1641453466368202E-3</c:v>
                </c:pt>
                <c:pt idx="147">
                  <c:v>9.2896198836738639E-3</c:v>
                </c:pt>
                <c:pt idx="148">
                  <c:v>9.4159509021923809E-3</c:v>
                </c:pt>
                <c:pt idx="149">
                  <c:v>9.5431384021923815E-3</c:v>
                </c:pt>
                <c:pt idx="150">
                  <c:v>9.6711823836738622E-3</c:v>
                </c:pt>
              </c:numCache>
            </c:numRef>
          </c:yVal>
          <c:smooth val="1"/>
          <c:extLst>
            <c:ext xmlns:c16="http://schemas.microsoft.com/office/drawing/2014/chart" uri="{C3380CC4-5D6E-409C-BE32-E72D297353CC}">
              <c16:uniqueId val="{00000003-EBB2-49C9-A014-1F538461E4EA}"/>
            </c:ext>
          </c:extLst>
        </c:ser>
        <c:dLbls>
          <c:showLegendKey val="0"/>
          <c:showVal val="0"/>
          <c:showCatName val="0"/>
          <c:showSerName val="0"/>
          <c:showPercent val="0"/>
          <c:showBubbleSize val="0"/>
        </c:dLbls>
        <c:axId val="157162112"/>
        <c:axId val="157160192"/>
      </c:scatterChart>
      <c:valAx>
        <c:axId val="144893056"/>
        <c:scaling>
          <c:orientation val="minMax"/>
        </c:scaling>
        <c:delete val="0"/>
        <c:axPos val="b"/>
        <c:majorGridlines/>
        <c:numFmt formatCode="General" sourceLinked="1"/>
        <c:majorTickMark val="out"/>
        <c:minorTickMark val="none"/>
        <c:tickLblPos val="nextTo"/>
        <c:crossAx val="144894592"/>
        <c:crosses val="autoZero"/>
        <c:crossBetween val="midCat"/>
      </c:valAx>
      <c:valAx>
        <c:axId val="144894592"/>
        <c:scaling>
          <c:orientation val="minMax"/>
          <c:max val="100"/>
          <c:min val="7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44893056"/>
        <c:crosses val="autoZero"/>
        <c:crossBetween val="midCat"/>
      </c:valAx>
      <c:valAx>
        <c:axId val="15716019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57162112"/>
        <c:crosses val="max"/>
        <c:crossBetween val="midCat"/>
      </c:valAx>
      <c:valAx>
        <c:axId val="157162112"/>
        <c:scaling>
          <c:orientation val="minMax"/>
        </c:scaling>
        <c:delete val="1"/>
        <c:axPos val="b"/>
        <c:title>
          <c:tx>
            <c:rich>
              <a:bodyPr/>
              <a:lstStyle/>
              <a:p>
                <a:pPr>
                  <a:defRPr/>
                </a:pPr>
                <a:r>
                  <a:rPr lang="en-US"/>
                  <a:t>Load</a:t>
                </a:r>
                <a:r>
                  <a:rPr lang="en-US" baseline="0"/>
                  <a:t> Current (A)</a:t>
                </a:r>
                <a:endParaRPr lang="en-US"/>
              </a:p>
            </c:rich>
          </c:tx>
          <c:overlay val="0"/>
        </c:title>
        <c:numFmt formatCode="General" sourceLinked="1"/>
        <c:majorTickMark val="out"/>
        <c:minorTickMark val="none"/>
        <c:tickLblPos val="nextTo"/>
        <c:crossAx val="15716019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Eff_vs_IOUT!$AT$7:$AT$157</c:f>
              <c:numCache>
                <c:formatCode>General</c:formatCode>
                <c:ptCount val="151"/>
                <c:pt idx="0">
                  <c:v>0</c:v>
                </c:pt>
                <c:pt idx="1">
                  <c:v>6.4061697565850713</c:v>
                </c:pt>
                <c:pt idx="2">
                  <c:v>11.980919438793599</c:v>
                </c:pt>
                <c:pt idx="3">
                  <c:v>16.875422583621468</c:v>
                </c:pt>
                <c:pt idx="4">
                  <c:v>21.206484631719597</c:v>
                </c:pt>
                <c:pt idx="5">
                  <c:v>25.065695678558132</c:v>
                </c:pt>
                <c:pt idx="6">
                  <c:v>28.525859592137582</c:v>
                </c:pt>
                <c:pt idx="7">
                  <c:v>31.645563724395259</c:v>
                </c:pt>
                <c:pt idx="8">
                  <c:v>34.47248113536174</c:v>
                </c:pt>
                <c:pt idx="9">
                  <c:v>37.045795284278874</c:v>
                </c:pt>
                <c:pt idx="10">
                  <c:v>39.398006886791848</c:v>
                </c:pt>
                <c:pt idx="11">
                  <c:v>41.556298745489748</c:v>
                </c:pt>
                <c:pt idx="12">
                  <c:v>43.543579578254253</c:v>
                </c:pt>
                <c:pt idx="13">
                  <c:v>45.379291497555236</c:v>
                </c:pt>
                <c:pt idx="14">
                  <c:v>47.080041243267189</c:v>
                </c:pt>
                <c:pt idx="15">
                  <c:v>48.660098436384907</c:v>
                </c:pt>
                <c:pt idx="16">
                  <c:v>50.131792404267529</c:v>
                </c:pt>
                <c:pt idx="17">
                  <c:v>51.505830860079016</c:v>
                </c:pt>
                <c:pt idx="18">
                  <c:v>52.894433029730003</c:v>
                </c:pt>
                <c:pt idx="19">
                  <c:v>54.107205256214371</c:v>
                </c:pt>
                <c:pt idx="20">
                  <c:v>55.246830835789552</c:v>
                </c:pt>
                <c:pt idx="21">
                  <c:v>56.319673990567289</c:v>
                </c:pt>
                <c:pt idx="22">
                  <c:v>57.331381476401397</c:v>
                </c:pt>
                <c:pt idx="23">
                  <c:v>58.286980915348522</c:v>
                </c:pt>
                <c:pt idx="24">
                  <c:v>59.190963387236387</c:v>
                </c:pt>
                <c:pt idx="25">
                  <c:v>60.047353143684091</c:v>
                </c:pt>
                <c:pt idx="26">
                  <c:v>60.859766727731589</c:v>
                </c:pt>
                <c:pt idx="27">
                  <c:v>61.631463331037338</c:v>
                </c:pt>
                <c:pt idx="28">
                  <c:v>62.365387867298196</c:v>
                </c:pt>
                <c:pt idx="29">
                  <c:v>63.064207962090457</c:v>
                </c:pt>
                <c:pt idx="30">
                  <c:v>63.730345838511816</c:v>
                </c:pt>
                <c:pt idx="31">
                  <c:v>64.366005901862906</c:v>
                </c:pt>
                <c:pt idx="32">
                  <c:v>64.973198685321549</c:v>
                </c:pt>
                <c:pt idx="33">
                  <c:v>65.553761704633402</c:v>
                </c:pt>
                <c:pt idx="34">
                  <c:v>66.109377677508334</c:v>
                </c:pt>
                <c:pt idx="35">
                  <c:v>66.641590488218171</c:v>
                </c:pt>
                <c:pt idx="36">
                  <c:v>67.151819216374378</c:v>
                </c:pt>
                <c:pt idx="37">
                  <c:v>67.641370498314728</c:v>
                </c:pt>
                <c:pt idx="38">
                  <c:v>68.111449447815303</c:v>
                </c:pt>
                <c:pt idx="39">
                  <c:v>68.56316932828507</c:v>
                </c:pt>
                <c:pt idx="40">
                  <c:v>68.997560139856091</c:v>
                </c:pt>
                <c:pt idx="41">
                  <c:v>69.4155762607881</c:v>
                </c:pt>
                <c:pt idx="42">
                  <c:v>69.818103262501836</c:v>
                </c:pt>
                <c:pt idx="43">
                  <c:v>70.205964000657303</c:v>
                </c:pt>
                <c:pt idx="44">
                  <c:v>70.57992407043831</c:v>
                </c:pt>
                <c:pt idx="45">
                  <c:v>70.940696702145175</c:v>
                </c:pt>
                <c:pt idx="46">
                  <c:v>71.288947162961989</c:v>
                </c:pt>
                <c:pt idx="47">
                  <c:v>71.625296722052724</c:v>
                </c:pt>
                <c:pt idx="48">
                  <c:v>71.950326228703048</c:v>
                </c:pt>
                <c:pt idx="49">
                  <c:v>72.264579346859946</c:v>
                </c:pt>
                <c:pt idx="50">
                  <c:v>72.568565483957144</c:v>
                </c:pt>
                <c:pt idx="51">
                  <c:v>72.862762447214038</c:v>
                </c:pt>
                <c:pt idx="52">
                  <c:v>73.147618856541612</c:v>
                </c:pt>
                <c:pt idx="53">
                  <c:v>73.423556339682364</c:v>
                </c:pt>
                <c:pt idx="54">
                  <c:v>73.690971532173606</c:v>
                </c:pt>
                <c:pt idx="55">
                  <c:v>73.950237902084694</c:v>
                </c:pt>
                <c:pt idx="56">
                  <c:v>74.201707417181353</c:v>
                </c:pt>
                <c:pt idx="57">
                  <c:v>74.445712070166692</c:v>
                </c:pt>
                <c:pt idx="58">
                  <c:v>74.682565275897232</c:v>
                </c:pt>
                <c:pt idx="59">
                  <c:v>74.912563152937935</c:v>
                </c:pt>
                <c:pt idx="60">
                  <c:v>75.135985700474421</c:v>
                </c:pt>
                <c:pt idx="61">
                  <c:v>75.353097880416954</c:v>
                </c:pt>
                <c:pt idx="62">
                  <c:v>75.564150613488408</c:v>
                </c:pt>
                <c:pt idx="63">
                  <c:v>75.769381697169194</c:v>
                </c:pt>
                <c:pt idx="64">
                  <c:v>75.969016652558437</c:v>
                </c:pt>
                <c:pt idx="65">
                  <c:v>76.163269506491901</c:v>
                </c:pt>
                <c:pt idx="66">
                  <c:v>76.352343514618411</c:v>
                </c:pt>
                <c:pt idx="67">
                  <c:v>76.53643183057028</c:v>
                </c:pt>
                <c:pt idx="68">
                  <c:v>76.715718125858416</c:v>
                </c:pt>
                <c:pt idx="69">
                  <c:v>76.890377164674092</c:v>
                </c:pt>
                <c:pt idx="70">
                  <c:v>77.060575337378793</c:v>
                </c:pt>
                <c:pt idx="71">
                  <c:v>77.226471156104438</c:v>
                </c:pt>
                <c:pt idx="72">
                  <c:v>77.388215715567682</c:v>
                </c:pt>
                <c:pt idx="73">
                  <c:v>77.545953121913101</c:v>
                </c:pt>
                <c:pt idx="74">
                  <c:v>77.699820892143933</c:v>
                </c:pt>
                <c:pt idx="75">
                  <c:v>77.849950326467138</c:v>
                </c:pt>
                <c:pt idx="76">
                  <c:v>77.996466855671727</c:v>
                </c:pt>
                <c:pt idx="77">
                  <c:v>78.139490365471673</c:v>
                </c:pt>
                <c:pt idx="78">
                  <c:v>78.279135499576327</c:v>
                </c:pt>
                <c:pt idx="79">
                  <c:v>78.41551194309821</c:v>
                </c:pt>
                <c:pt idx="80">
                  <c:v>78.548724687770715</c:v>
                </c:pt>
                <c:pt idx="81">
                  <c:v>78.678874280323228</c:v>
                </c:pt>
                <c:pt idx="82">
                  <c:v>78.80605705524863</c:v>
                </c:pt>
                <c:pt idx="83">
                  <c:v>78.93036535309534</c:v>
                </c:pt>
                <c:pt idx="84">
                  <c:v>79.051887725323652</c:v>
                </c:pt>
                <c:pt idx="85">
                  <c:v>79.170709126680975</c:v>
                </c:pt>
                <c:pt idx="86">
                  <c:v>79.286911095974645</c:v>
                </c:pt>
                <c:pt idx="87">
                  <c:v>79.400571926050063</c:v>
                </c:pt>
                <c:pt idx="88">
                  <c:v>79.511766823719427</c:v>
                </c:pt>
                <c:pt idx="89">
                  <c:v>79.620568060326775</c:v>
                </c:pt>
                <c:pt idx="90">
                  <c:v>79.72704511358323</c:v>
                </c:pt>
                <c:pt idx="91">
                  <c:v>79.831264801257134</c:v>
                </c:pt>
                <c:pt idx="92">
                  <c:v>79.933291407259688</c:v>
                </c:pt>
                <c:pt idx="93">
                  <c:v>80.033186800625813</c:v>
                </c:pt>
                <c:pt idx="94">
                  <c:v>80.131010547853222</c:v>
                </c:pt>
                <c:pt idx="95">
                  <c:v>80.226820019028111</c:v>
                </c:pt>
                <c:pt idx="96">
                  <c:v>80.320670488134638</c:v>
                </c:pt>
                <c:pt idx="97">
                  <c:v>80.412615227917087</c:v>
                </c:pt>
                <c:pt idx="98">
                  <c:v>80.502705599636286</c:v>
                </c:pt>
                <c:pt idx="99">
                  <c:v>80.590991138038277</c:v>
                </c:pt>
                <c:pt idx="100">
                  <c:v>80.677519631830577</c:v>
                </c:pt>
                <c:pt idx="101">
                  <c:v>80.762337199940646</c:v>
                </c:pt>
                <c:pt idx="102">
                  <c:v>80.845488363812308</c:v>
                </c:pt>
                <c:pt idx="103">
                  <c:v>80.927016115977906</c:v>
                </c:pt>
                <c:pt idx="104">
                  <c:v>81.006961985128797</c:v>
                </c:pt>
                <c:pt idx="105">
                  <c:v>81.085366097890159</c:v>
                </c:pt>
                <c:pt idx="106">
                  <c:v>81.162267237494035</c:v>
                </c:pt>
                <c:pt idx="107">
                  <c:v>81.237702899530177</c:v>
                </c:pt>
                <c:pt idx="108">
                  <c:v>81.311709344943566</c:v>
                </c:pt>
                <c:pt idx="109">
                  <c:v>81.384321650435581</c:v>
                </c:pt>
                <c:pt idx="110">
                  <c:v>81.455573756416214</c:v>
                </c:pt>
                <c:pt idx="111">
                  <c:v>81.525498512645072</c:v>
                </c:pt>
                <c:pt idx="112">
                  <c:v>81.594127721689901</c:v>
                </c:pt>
                <c:pt idx="113">
                  <c:v>81.66149218032362</c:v>
                </c:pt>
                <c:pt idx="114">
                  <c:v>81.727621718972969</c:v>
                </c:pt>
                <c:pt idx="115">
                  <c:v>81.792545239324824</c:v>
                </c:pt>
                <c:pt idx="116">
                  <c:v>81.856290750190112</c:v>
                </c:pt>
                <c:pt idx="117">
                  <c:v>81.91888540171837</c:v>
                </c:pt>
                <c:pt idx="118">
                  <c:v>81.980355518050999</c:v>
                </c:pt>
                <c:pt idx="119">
                  <c:v>82.040726628495861</c:v>
                </c:pt>
                <c:pt idx="120">
                  <c:v>82.100023497300299</c:v>
                </c:pt>
                <c:pt idx="121">
                  <c:v>82.158270152095966</c:v>
                </c:pt>
                <c:pt idx="122">
                  <c:v>82.215489911084035</c:v>
                </c:pt>
                <c:pt idx="123">
                  <c:v>82.271705409024975</c:v>
                </c:pt>
                <c:pt idx="124">
                  <c:v>82.326938622094488</c:v>
                </c:pt>
                <c:pt idx="125">
                  <c:v>82.38121089166215</c:v>
                </c:pt>
                <c:pt idx="126">
                  <c:v>82.43454294704739</c:v>
                </c:pt>
                <c:pt idx="127">
                  <c:v>82.486954927303444</c:v>
                </c:pt>
                <c:pt idx="128">
                  <c:v>82.538466402077688</c:v>
                </c:pt>
                <c:pt idx="129">
                  <c:v>82.589096391593159</c:v>
                </c:pt>
                <c:pt idx="130">
                  <c:v>82.638863385794949</c:v>
                </c:pt>
                <c:pt idx="131">
                  <c:v>82.68778536270105</c:v>
                </c:pt>
                <c:pt idx="132">
                  <c:v>82.735879805996831</c:v>
                </c:pt>
                <c:pt idx="133">
                  <c:v>82.783163721908366</c:v>
                </c:pt>
                <c:pt idx="134">
                  <c:v>82.829653655389663</c:v>
                </c:pt>
                <c:pt idx="135">
                  <c:v>82.875365705655597</c:v>
                </c:pt>
                <c:pt idx="136">
                  <c:v>82.920315541091426</c:v>
                </c:pt>
                <c:pt idx="137">
                  <c:v>82.964518413567831</c:v>
                </c:pt>
                <c:pt idx="138">
                  <c:v>83.007989172188957</c:v>
                </c:pt>
                <c:pt idx="139">
                  <c:v>83.050742276499477</c:v>
                </c:pt>
                <c:pt idx="140">
                  <c:v>83.092791809175353</c:v>
                </c:pt>
                <c:pt idx="141">
                  <c:v>83.134151488221704</c:v>
                </c:pt>
                <c:pt idx="142">
                  <c:v>83.174834678699995</c:v>
                </c:pt>
                <c:pt idx="143">
                  <c:v>83.21485440400545</c:v>
                </c:pt>
                <c:pt idx="144">
                  <c:v>83.254223356714903</c:v>
                </c:pt>
                <c:pt idx="145">
                  <c:v>83.29295390902405</c:v>
                </c:pt>
                <c:pt idx="146">
                  <c:v>83.331058122791717</c:v>
                </c:pt>
                <c:pt idx="147">
                  <c:v>83.36854775920898</c:v>
                </c:pt>
                <c:pt idx="148">
                  <c:v>83.405434288108694</c:v>
                </c:pt>
                <c:pt idx="149">
                  <c:v>83.441728896931508</c:v>
                </c:pt>
                <c:pt idx="150">
                  <c:v>83.477442499362624</c:v>
                </c:pt>
              </c:numCache>
            </c:numRef>
          </c:yVal>
          <c:smooth val="0"/>
          <c:extLst>
            <c:ext xmlns:c16="http://schemas.microsoft.com/office/drawing/2014/chart" uri="{C3380CC4-5D6E-409C-BE32-E72D297353CC}">
              <c16:uniqueId val="{00000000-8AEF-4CD2-9E91-5056CF00EB36}"/>
            </c:ext>
          </c:extLst>
        </c:ser>
        <c:dLbls>
          <c:showLegendKey val="0"/>
          <c:showVal val="0"/>
          <c:showCatName val="0"/>
          <c:showSerName val="0"/>
          <c:showPercent val="0"/>
          <c:showBubbleSize val="0"/>
        </c:dLbls>
        <c:axId val="145036800"/>
        <c:axId val="145038336"/>
      </c:scatterChart>
      <c:scatterChart>
        <c:scatterStyle val="smoothMarker"/>
        <c:varyColors val="0"/>
        <c:ser>
          <c:idx val="1"/>
          <c:order val="1"/>
          <c:tx>
            <c:v>MOSFET</c:v>
          </c:tx>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Eff_vs_IOUT!$AI$7:$AI$157</c:f>
              <c:numCache>
                <c:formatCode>General</c:formatCode>
                <c:ptCount val="151"/>
                <c:pt idx="0">
                  <c:v>0</c:v>
                </c:pt>
                <c:pt idx="1">
                  <c:v>3.3525116441776824E-3</c:v>
                </c:pt>
                <c:pt idx="2">
                  <c:v>6.7087725576077343E-3</c:v>
                </c:pt>
                <c:pt idx="3">
                  <c:v>1.0067474209635417E-2</c:v>
                </c:pt>
                <c:pt idx="4">
                  <c:v>1.3428149650066846E-2</c:v>
                </c:pt>
                <c:pt idx="5">
                  <c:v>1.6790529007475699E-2</c:v>
                </c:pt>
                <c:pt idx="6">
                  <c:v>2.015443019377991E-2</c:v>
                </c:pt>
                <c:pt idx="7">
                  <c:v>2.3519719533486499E-2</c:v>
                </c:pt>
                <c:pt idx="8">
                  <c:v>2.6886293454152648E-2</c:v>
                </c:pt>
                <c:pt idx="9">
                  <c:v>3.0254068627701674E-2</c:v>
                </c:pt>
                <c:pt idx="10">
                  <c:v>3.3622976119522641E-2</c:v>
                </c:pt>
                <c:pt idx="11">
                  <c:v>3.699295766438012E-2</c:v>
                </c:pt>
                <c:pt idx="12">
                  <c:v>4.0363963167019484E-2</c:v>
                </c:pt>
                <c:pt idx="13">
                  <c:v>4.3735948953396636E-2</c:v>
                </c:pt>
                <c:pt idx="14">
                  <c:v>4.7108876505252931E-2</c:v>
                </c:pt>
                <c:pt idx="15">
                  <c:v>5.0482711518667615E-2</c:v>
                </c:pt>
                <c:pt idx="16">
                  <c:v>5.3857423187116324E-2</c:v>
                </c:pt>
                <c:pt idx="17">
                  <c:v>5.7232983644538299E-2</c:v>
                </c:pt>
                <c:pt idx="18">
                  <c:v>6.0670949104779236E-2</c:v>
                </c:pt>
                <c:pt idx="19">
                  <c:v>6.4055906431235168E-2</c:v>
                </c:pt>
                <c:pt idx="20">
                  <c:v>6.7442862214481231E-2</c:v>
                </c:pt>
                <c:pt idx="21">
                  <c:v>7.0831816454517416E-2</c:v>
                </c:pt>
                <c:pt idx="22">
                  <c:v>7.4222769151343723E-2</c:v>
                </c:pt>
                <c:pt idx="23">
                  <c:v>7.7615720304960154E-2</c:v>
                </c:pt>
                <c:pt idx="24">
                  <c:v>8.1010669915366693E-2</c:v>
                </c:pt>
                <c:pt idx="25">
                  <c:v>8.4407617982563382E-2</c:v>
                </c:pt>
                <c:pt idx="26">
                  <c:v>8.780656450655018E-2</c:v>
                </c:pt>
                <c:pt idx="27">
                  <c:v>9.1207509487327101E-2</c:v>
                </c:pt>
                <c:pt idx="28">
                  <c:v>9.4610452924894131E-2</c:v>
                </c:pt>
                <c:pt idx="29">
                  <c:v>9.8015394819251311E-2</c:v>
                </c:pt>
                <c:pt idx="30">
                  <c:v>0.10142233517039866</c:v>
                </c:pt>
                <c:pt idx="31">
                  <c:v>0.10483127397833604</c:v>
                </c:pt>
                <c:pt idx="32">
                  <c:v>0.10824221124306357</c:v>
                </c:pt>
                <c:pt idx="33">
                  <c:v>0.11165514696458126</c:v>
                </c:pt>
                <c:pt idx="34">
                  <c:v>0.11507008114288904</c:v>
                </c:pt>
                <c:pt idx="35">
                  <c:v>0.11848701377798697</c:v>
                </c:pt>
                <c:pt idx="36">
                  <c:v>0.12190594486987501</c:v>
                </c:pt>
                <c:pt idx="37">
                  <c:v>0.12532687441855314</c:v>
                </c:pt>
                <c:pt idx="38">
                  <c:v>0.12874980242402145</c:v>
                </c:pt>
                <c:pt idx="39">
                  <c:v>0.13217472888627985</c:v>
                </c:pt>
                <c:pt idx="40">
                  <c:v>0.1356016538053284</c:v>
                </c:pt>
                <c:pt idx="41">
                  <c:v>0.13903057718116704</c:v>
                </c:pt>
                <c:pt idx="42">
                  <c:v>0.14246149901379582</c:v>
                </c:pt>
                <c:pt idx="43">
                  <c:v>0.14589441930321467</c:v>
                </c:pt>
                <c:pt idx="44">
                  <c:v>0.14932933804942375</c:v>
                </c:pt>
                <c:pt idx="45">
                  <c:v>0.15276625525242288</c:v>
                </c:pt>
                <c:pt idx="46">
                  <c:v>0.15620517091221214</c:v>
                </c:pt>
                <c:pt idx="47">
                  <c:v>0.15964608502879155</c:v>
                </c:pt>
                <c:pt idx="48">
                  <c:v>0.16308899760216106</c:v>
                </c:pt>
                <c:pt idx="49">
                  <c:v>0.16653390863232068</c:v>
                </c:pt>
                <c:pt idx="50">
                  <c:v>0.16998081811927049</c:v>
                </c:pt>
                <c:pt idx="51">
                  <c:v>0.17342972606301035</c:v>
                </c:pt>
                <c:pt idx="52">
                  <c:v>0.17688063246354035</c:v>
                </c:pt>
                <c:pt idx="53">
                  <c:v>0.18033353732086052</c:v>
                </c:pt>
                <c:pt idx="54">
                  <c:v>0.18378844063497074</c:v>
                </c:pt>
                <c:pt idx="55">
                  <c:v>0.18724534240587118</c:v>
                </c:pt>
                <c:pt idx="56">
                  <c:v>0.19070424263356159</c:v>
                </c:pt>
                <c:pt idx="57">
                  <c:v>0.19416514131804224</c:v>
                </c:pt>
                <c:pt idx="58">
                  <c:v>0.19762803845931301</c:v>
                </c:pt>
                <c:pt idx="59">
                  <c:v>0.20109293405737391</c:v>
                </c:pt>
                <c:pt idx="60">
                  <c:v>0.20455982811222495</c:v>
                </c:pt>
                <c:pt idx="61">
                  <c:v>0.20802872062386601</c:v>
                </c:pt>
                <c:pt idx="62">
                  <c:v>0.21149961159229724</c:v>
                </c:pt>
                <c:pt idx="63">
                  <c:v>0.21497250101751855</c:v>
                </c:pt>
                <c:pt idx="64">
                  <c:v>0.21844738889953011</c:v>
                </c:pt>
                <c:pt idx="65">
                  <c:v>0.22192427523833178</c:v>
                </c:pt>
                <c:pt idx="66">
                  <c:v>0.22540316003392349</c:v>
                </c:pt>
                <c:pt idx="67">
                  <c:v>0.22888404328630535</c:v>
                </c:pt>
                <c:pt idx="68">
                  <c:v>0.23236692499547734</c:v>
                </c:pt>
                <c:pt idx="69">
                  <c:v>0.2358518051614395</c:v>
                </c:pt>
                <c:pt idx="70">
                  <c:v>0.23933868378419171</c:v>
                </c:pt>
                <c:pt idx="71">
                  <c:v>0.24282756086373403</c:v>
                </c:pt>
                <c:pt idx="72">
                  <c:v>0.24631843640006656</c:v>
                </c:pt>
                <c:pt idx="73">
                  <c:v>0.24981131039318913</c:v>
                </c:pt>
                <c:pt idx="74">
                  <c:v>0.25330618284310186</c:v>
                </c:pt>
                <c:pt idx="75">
                  <c:v>0.25680305374980467</c:v>
                </c:pt>
                <c:pt idx="76">
                  <c:v>0.2603019231132977</c:v>
                </c:pt>
                <c:pt idx="77">
                  <c:v>0.26380279093358078</c:v>
                </c:pt>
                <c:pt idx="78">
                  <c:v>0.26730565721065402</c:v>
                </c:pt>
                <c:pt idx="79">
                  <c:v>0.27081052194451738</c:v>
                </c:pt>
                <c:pt idx="80">
                  <c:v>0.27431738513517084</c:v>
                </c:pt>
                <c:pt idx="81">
                  <c:v>0.27782624678261436</c:v>
                </c:pt>
                <c:pt idx="82">
                  <c:v>0.28133710688684815</c:v>
                </c:pt>
                <c:pt idx="83">
                  <c:v>0.28484996544787194</c:v>
                </c:pt>
                <c:pt idx="84">
                  <c:v>0.28836482246568595</c:v>
                </c:pt>
                <c:pt idx="85">
                  <c:v>0.29188167794029002</c:v>
                </c:pt>
                <c:pt idx="86">
                  <c:v>0.29540053187168419</c:v>
                </c:pt>
                <c:pt idx="87">
                  <c:v>0.29892138425986858</c:v>
                </c:pt>
                <c:pt idx="88">
                  <c:v>0.30244423510484303</c:v>
                </c:pt>
                <c:pt idx="89">
                  <c:v>0.30596908440660764</c:v>
                </c:pt>
                <c:pt idx="90">
                  <c:v>0.3094959321651623</c:v>
                </c:pt>
                <c:pt idx="91">
                  <c:v>0.31302477838050713</c:v>
                </c:pt>
                <c:pt idx="92">
                  <c:v>0.31655562305264207</c:v>
                </c:pt>
                <c:pt idx="93">
                  <c:v>0.32008846618156711</c:v>
                </c:pt>
                <c:pt idx="94">
                  <c:v>0.32362330776728232</c:v>
                </c:pt>
                <c:pt idx="95">
                  <c:v>0.32716014780978764</c:v>
                </c:pt>
                <c:pt idx="96">
                  <c:v>0.33069898630908307</c:v>
                </c:pt>
                <c:pt idx="97">
                  <c:v>0.33423982326516866</c:v>
                </c:pt>
                <c:pt idx="98">
                  <c:v>0.33778265867804436</c:v>
                </c:pt>
                <c:pt idx="99">
                  <c:v>0.34132749254771017</c:v>
                </c:pt>
                <c:pt idx="100">
                  <c:v>0.34487432487416614</c:v>
                </c:pt>
                <c:pt idx="101">
                  <c:v>0.34842315565741222</c:v>
                </c:pt>
                <c:pt idx="102">
                  <c:v>0.35197398489744836</c:v>
                </c:pt>
                <c:pt idx="103">
                  <c:v>0.35552681259427471</c:v>
                </c:pt>
                <c:pt idx="104">
                  <c:v>0.35908163874789112</c:v>
                </c:pt>
                <c:pt idx="105">
                  <c:v>0.36263846335829764</c:v>
                </c:pt>
                <c:pt idx="106">
                  <c:v>0.36619728642549437</c:v>
                </c:pt>
                <c:pt idx="107">
                  <c:v>0.36975810794948122</c:v>
                </c:pt>
                <c:pt idx="108">
                  <c:v>0.37332092793025806</c:v>
                </c:pt>
                <c:pt idx="109">
                  <c:v>0.37688574636782507</c:v>
                </c:pt>
                <c:pt idx="110">
                  <c:v>0.38045256326218235</c:v>
                </c:pt>
                <c:pt idx="111">
                  <c:v>0.38402137861332958</c:v>
                </c:pt>
                <c:pt idx="112">
                  <c:v>0.38759219242126691</c:v>
                </c:pt>
                <c:pt idx="113">
                  <c:v>0.39116500468599458</c:v>
                </c:pt>
                <c:pt idx="114">
                  <c:v>0.39473981540751213</c:v>
                </c:pt>
                <c:pt idx="115">
                  <c:v>0.39831662458581996</c:v>
                </c:pt>
                <c:pt idx="116">
                  <c:v>0.40189543222091784</c:v>
                </c:pt>
                <c:pt idx="117">
                  <c:v>0.40547623831280594</c:v>
                </c:pt>
                <c:pt idx="118">
                  <c:v>0.40905904286148409</c:v>
                </c:pt>
                <c:pt idx="119">
                  <c:v>0.41264384586695235</c:v>
                </c:pt>
                <c:pt idx="120">
                  <c:v>0.41623064732921089</c:v>
                </c:pt>
                <c:pt idx="121">
                  <c:v>0.41981944724825937</c:v>
                </c:pt>
                <c:pt idx="122">
                  <c:v>0.42341024562409796</c:v>
                </c:pt>
                <c:pt idx="123">
                  <c:v>0.42700304245672682</c:v>
                </c:pt>
                <c:pt idx="124">
                  <c:v>0.43059783774614563</c:v>
                </c:pt>
                <c:pt idx="125">
                  <c:v>0.43419463149235465</c:v>
                </c:pt>
                <c:pt idx="126">
                  <c:v>0.43779342369535368</c:v>
                </c:pt>
                <c:pt idx="127">
                  <c:v>0.44139421435514309</c:v>
                </c:pt>
                <c:pt idx="128">
                  <c:v>0.44499700347172244</c:v>
                </c:pt>
                <c:pt idx="129">
                  <c:v>0.44860179104509196</c:v>
                </c:pt>
                <c:pt idx="130">
                  <c:v>0.45220857707525169</c:v>
                </c:pt>
                <c:pt idx="131">
                  <c:v>0.45581736156220148</c:v>
                </c:pt>
                <c:pt idx="132">
                  <c:v>0.45942814450594127</c:v>
                </c:pt>
                <c:pt idx="133">
                  <c:v>0.46304092590647128</c:v>
                </c:pt>
                <c:pt idx="134">
                  <c:v>0.46665570576379145</c:v>
                </c:pt>
                <c:pt idx="135">
                  <c:v>0.47027248407790179</c:v>
                </c:pt>
                <c:pt idx="136">
                  <c:v>0.47389126084880207</c:v>
                </c:pt>
                <c:pt idx="137">
                  <c:v>0.47751203607649262</c:v>
                </c:pt>
                <c:pt idx="138">
                  <c:v>0.48113480976097328</c:v>
                </c:pt>
                <c:pt idx="139">
                  <c:v>0.48475958190224394</c:v>
                </c:pt>
                <c:pt idx="140">
                  <c:v>0.48838635250030493</c:v>
                </c:pt>
                <c:pt idx="141">
                  <c:v>0.49201512155515581</c:v>
                </c:pt>
                <c:pt idx="142">
                  <c:v>0.49564588906679691</c:v>
                </c:pt>
                <c:pt idx="143">
                  <c:v>0.49927865503522817</c:v>
                </c:pt>
                <c:pt idx="144">
                  <c:v>0.50291341946044965</c:v>
                </c:pt>
                <c:pt idx="145">
                  <c:v>0.50655018234246108</c:v>
                </c:pt>
                <c:pt idx="146">
                  <c:v>0.51018894368126266</c:v>
                </c:pt>
                <c:pt idx="147">
                  <c:v>0.51382970347685442</c:v>
                </c:pt>
                <c:pt idx="148">
                  <c:v>0.51747246172923622</c:v>
                </c:pt>
                <c:pt idx="149">
                  <c:v>0.52111721843840819</c:v>
                </c:pt>
                <c:pt idx="150">
                  <c:v>0.52476397360437033</c:v>
                </c:pt>
              </c:numCache>
            </c:numRef>
          </c:yVal>
          <c:smooth val="1"/>
          <c:extLst>
            <c:ext xmlns:c16="http://schemas.microsoft.com/office/drawing/2014/chart" uri="{C3380CC4-5D6E-409C-BE32-E72D297353CC}">
              <c16:uniqueId val="{00000001-8AEF-4CD2-9E91-5056CF00EB36}"/>
            </c:ext>
          </c:extLst>
        </c:ser>
        <c:ser>
          <c:idx val="2"/>
          <c:order val="2"/>
          <c:tx>
            <c:v>Diode</c:v>
          </c:tx>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Eff_vs_IOUT!$AN$7:$AN$157</c:f>
              <c:numCache>
                <c:formatCode>General</c:formatCode>
                <c:ptCount val="151"/>
                <c:pt idx="0">
                  <c:v>0.59752000000000005</c:v>
                </c:pt>
                <c:pt idx="1">
                  <c:v>0.59778666666666669</c:v>
                </c:pt>
                <c:pt idx="2">
                  <c:v>0.59805333333333344</c:v>
                </c:pt>
                <c:pt idx="3">
                  <c:v>0.59832000000000007</c:v>
                </c:pt>
                <c:pt idx="4">
                  <c:v>0.59858666666666671</c:v>
                </c:pt>
                <c:pt idx="5">
                  <c:v>0.59885333333333335</c:v>
                </c:pt>
                <c:pt idx="6">
                  <c:v>0.5991200000000001</c:v>
                </c:pt>
                <c:pt idx="7">
                  <c:v>0.59938666666666673</c:v>
                </c:pt>
                <c:pt idx="8">
                  <c:v>0.59965333333333337</c:v>
                </c:pt>
                <c:pt idx="9">
                  <c:v>0.59992000000000001</c:v>
                </c:pt>
                <c:pt idx="10">
                  <c:v>0.60018666666666676</c:v>
                </c:pt>
                <c:pt idx="11">
                  <c:v>0.60045333333333339</c:v>
                </c:pt>
                <c:pt idx="12">
                  <c:v>0.60072000000000003</c:v>
                </c:pt>
                <c:pt idx="13">
                  <c:v>0.60098666666666667</c:v>
                </c:pt>
                <c:pt idx="14">
                  <c:v>0.60125333333333342</c:v>
                </c:pt>
                <c:pt idx="15">
                  <c:v>0.60152000000000005</c:v>
                </c:pt>
                <c:pt idx="16">
                  <c:v>0.60178666666666669</c:v>
                </c:pt>
                <c:pt idx="17">
                  <c:v>0.60205333333333333</c:v>
                </c:pt>
                <c:pt idx="18">
                  <c:v>0.60232000000000008</c:v>
                </c:pt>
                <c:pt idx="19">
                  <c:v>0.60258666666666671</c:v>
                </c:pt>
                <c:pt idx="20">
                  <c:v>0.60285333333333335</c:v>
                </c:pt>
                <c:pt idx="21">
                  <c:v>0.6031200000000001</c:v>
                </c:pt>
                <c:pt idx="22">
                  <c:v>0.60338666666666674</c:v>
                </c:pt>
                <c:pt idx="23">
                  <c:v>0.60365333333333338</c:v>
                </c:pt>
                <c:pt idx="24">
                  <c:v>0.60392000000000001</c:v>
                </c:pt>
                <c:pt idx="25">
                  <c:v>0.60418666666666676</c:v>
                </c:pt>
                <c:pt idx="26">
                  <c:v>0.6044533333333334</c:v>
                </c:pt>
                <c:pt idx="27">
                  <c:v>0.60472000000000004</c:v>
                </c:pt>
                <c:pt idx="28">
                  <c:v>0.60498666666666667</c:v>
                </c:pt>
                <c:pt idx="29">
                  <c:v>0.60525333333333342</c:v>
                </c:pt>
                <c:pt idx="30">
                  <c:v>0.60552000000000006</c:v>
                </c:pt>
                <c:pt idx="31">
                  <c:v>0.6057866666666667</c:v>
                </c:pt>
                <c:pt idx="32">
                  <c:v>0.60605333333333333</c:v>
                </c:pt>
                <c:pt idx="33">
                  <c:v>0.60632000000000008</c:v>
                </c:pt>
                <c:pt idx="34">
                  <c:v>0.60658666666666672</c:v>
                </c:pt>
                <c:pt idx="35">
                  <c:v>0.60685333333333336</c:v>
                </c:pt>
                <c:pt idx="36">
                  <c:v>0.6071200000000001</c:v>
                </c:pt>
                <c:pt idx="37">
                  <c:v>0.60738666666666674</c:v>
                </c:pt>
                <c:pt idx="38">
                  <c:v>0.60765333333333338</c:v>
                </c:pt>
                <c:pt idx="39">
                  <c:v>0.60792000000000002</c:v>
                </c:pt>
                <c:pt idx="40">
                  <c:v>0.60818666666666676</c:v>
                </c:pt>
                <c:pt idx="41">
                  <c:v>0.6084533333333334</c:v>
                </c:pt>
                <c:pt idx="42">
                  <c:v>0.60872000000000004</c:v>
                </c:pt>
                <c:pt idx="43">
                  <c:v>0.60898666666666668</c:v>
                </c:pt>
                <c:pt idx="44">
                  <c:v>0.60925333333333342</c:v>
                </c:pt>
                <c:pt idx="45">
                  <c:v>0.60952000000000006</c:v>
                </c:pt>
                <c:pt idx="46">
                  <c:v>0.6097866666666667</c:v>
                </c:pt>
                <c:pt idx="47">
                  <c:v>0.61005333333333334</c:v>
                </c:pt>
                <c:pt idx="48">
                  <c:v>0.61032000000000008</c:v>
                </c:pt>
                <c:pt idx="49">
                  <c:v>0.61058666666666672</c:v>
                </c:pt>
                <c:pt idx="50">
                  <c:v>0.61085333333333336</c:v>
                </c:pt>
                <c:pt idx="51">
                  <c:v>0.61112000000000011</c:v>
                </c:pt>
                <c:pt idx="52">
                  <c:v>0.61138666666666674</c:v>
                </c:pt>
                <c:pt idx="53">
                  <c:v>0.61165333333333338</c:v>
                </c:pt>
                <c:pt idx="54">
                  <c:v>0.61192000000000002</c:v>
                </c:pt>
                <c:pt idx="55">
                  <c:v>0.61218666666666677</c:v>
                </c:pt>
                <c:pt idx="56">
                  <c:v>0.61245333333333341</c:v>
                </c:pt>
                <c:pt idx="57">
                  <c:v>0.61272000000000004</c:v>
                </c:pt>
                <c:pt idx="58">
                  <c:v>0.61298666666666668</c:v>
                </c:pt>
                <c:pt idx="59">
                  <c:v>0.61325333333333343</c:v>
                </c:pt>
                <c:pt idx="60">
                  <c:v>0.61352000000000007</c:v>
                </c:pt>
                <c:pt idx="61">
                  <c:v>0.6137866666666667</c:v>
                </c:pt>
                <c:pt idx="62">
                  <c:v>0.61405333333333334</c:v>
                </c:pt>
                <c:pt idx="63">
                  <c:v>0.61432000000000009</c:v>
                </c:pt>
                <c:pt idx="64">
                  <c:v>0.61458666666666673</c:v>
                </c:pt>
                <c:pt idx="65">
                  <c:v>0.61485333333333336</c:v>
                </c:pt>
                <c:pt idx="66">
                  <c:v>0.61512</c:v>
                </c:pt>
                <c:pt idx="67">
                  <c:v>0.61538666666666675</c:v>
                </c:pt>
                <c:pt idx="68">
                  <c:v>0.61565333333333339</c:v>
                </c:pt>
                <c:pt idx="69">
                  <c:v>0.61592000000000002</c:v>
                </c:pt>
                <c:pt idx="70">
                  <c:v>0.61618666666666677</c:v>
                </c:pt>
                <c:pt idx="71">
                  <c:v>0.61645333333333341</c:v>
                </c:pt>
                <c:pt idx="72">
                  <c:v>0.61672000000000005</c:v>
                </c:pt>
                <c:pt idx="73">
                  <c:v>0.61698666666666668</c:v>
                </c:pt>
                <c:pt idx="74">
                  <c:v>0.61725333333333343</c:v>
                </c:pt>
                <c:pt idx="75">
                  <c:v>0.61752000000000007</c:v>
                </c:pt>
                <c:pt idx="76">
                  <c:v>0.61778666666666671</c:v>
                </c:pt>
                <c:pt idx="77">
                  <c:v>0.61805333333333334</c:v>
                </c:pt>
                <c:pt idx="78">
                  <c:v>0.61832000000000009</c:v>
                </c:pt>
                <c:pt idx="79">
                  <c:v>0.61858666666666673</c:v>
                </c:pt>
                <c:pt idx="80">
                  <c:v>0.61885333333333337</c:v>
                </c:pt>
                <c:pt idx="81">
                  <c:v>0.61912</c:v>
                </c:pt>
                <c:pt idx="82">
                  <c:v>0.61938666666666675</c:v>
                </c:pt>
                <c:pt idx="83">
                  <c:v>0.61965333333333339</c:v>
                </c:pt>
                <c:pt idx="84">
                  <c:v>0.61992000000000003</c:v>
                </c:pt>
                <c:pt idx="85">
                  <c:v>0.62018666666666666</c:v>
                </c:pt>
                <c:pt idx="86">
                  <c:v>0.62045333333333341</c:v>
                </c:pt>
                <c:pt idx="87">
                  <c:v>0.62072000000000005</c:v>
                </c:pt>
                <c:pt idx="88">
                  <c:v>0.62098666666666669</c:v>
                </c:pt>
                <c:pt idx="89">
                  <c:v>0.62125333333333344</c:v>
                </c:pt>
                <c:pt idx="90">
                  <c:v>0.62152000000000007</c:v>
                </c:pt>
                <c:pt idx="91">
                  <c:v>0.62178666666666671</c:v>
                </c:pt>
                <c:pt idx="92">
                  <c:v>0.62205333333333335</c:v>
                </c:pt>
                <c:pt idx="93">
                  <c:v>0.6223200000000001</c:v>
                </c:pt>
                <c:pt idx="94">
                  <c:v>0.62258666666666673</c:v>
                </c:pt>
                <c:pt idx="95">
                  <c:v>0.62285333333333337</c:v>
                </c:pt>
                <c:pt idx="96">
                  <c:v>0.62312000000000001</c:v>
                </c:pt>
                <c:pt idx="97">
                  <c:v>0.62338666666666676</c:v>
                </c:pt>
                <c:pt idx="98">
                  <c:v>0.62365333333333339</c:v>
                </c:pt>
                <c:pt idx="99">
                  <c:v>0.62392000000000003</c:v>
                </c:pt>
                <c:pt idx="100">
                  <c:v>0.62418666666666667</c:v>
                </c:pt>
                <c:pt idx="101">
                  <c:v>0.62445333333333342</c:v>
                </c:pt>
                <c:pt idx="102">
                  <c:v>0.62472000000000005</c:v>
                </c:pt>
                <c:pt idx="103">
                  <c:v>0.62498666666666669</c:v>
                </c:pt>
                <c:pt idx="104">
                  <c:v>0.62525333333333344</c:v>
                </c:pt>
                <c:pt idx="105">
                  <c:v>0.62552000000000008</c:v>
                </c:pt>
                <c:pt idx="106">
                  <c:v>0.62578666666666671</c:v>
                </c:pt>
                <c:pt idx="107">
                  <c:v>0.62605333333333335</c:v>
                </c:pt>
                <c:pt idx="108">
                  <c:v>0.6263200000000001</c:v>
                </c:pt>
                <c:pt idx="109">
                  <c:v>0.62658666666666674</c:v>
                </c:pt>
                <c:pt idx="110">
                  <c:v>0.62685333333333337</c:v>
                </c:pt>
                <c:pt idx="111">
                  <c:v>0.62712000000000001</c:v>
                </c:pt>
                <c:pt idx="112">
                  <c:v>0.62738666666666676</c:v>
                </c:pt>
                <c:pt idx="113">
                  <c:v>0.6276533333333334</c:v>
                </c:pt>
                <c:pt idx="114">
                  <c:v>0.62792000000000003</c:v>
                </c:pt>
                <c:pt idx="115">
                  <c:v>0.62818666666666667</c:v>
                </c:pt>
                <c:pt idx="116">
                  <c:v>0.62845333333333342</c:v>
                </c:pt>
                <c:pt idx="117">
                  <c:v>0.62872000000000006</c:v>
                </c:pt>
                <c:pt idx="118">
                  <c:v>0.62898666666666669</c:v>
                </c:pt>
                <c:pt idx="119">
                  <c:v>0.62925333333333344</c:v>
                </c:pt>
                <c:pt idx="120">
                  <c:v>0.62952000000000008</c:v>
                </c:pt>
                <c:pt idx="121">
                  <c:v>0.62978666666666672</c:v>
                </c:pt>
                <c:pt idx="122">
                  <c:v>0.63005333333333335</c:v>
                </c:pt>
                <c:pt idx="123">
                  <c:v>0.6303200000000001</c:v>
                </c:pt>
                <c:pt idx="124">
                  <c:v>0.63058666666666674</c:v>
                </c:pt>
                <c:pt idx="125">
                  <c:v>0.63085333333333338</c:v>
                </c:pt>
                <c:pt idx="126">
                  <c:v>0.63112000000000001</c:v>
                </c:pt>
                <c:pt idx="127">
                  <c:v>0.63138666666666676</c:v>
                </c:pt>
                <c:pt idx="128">
                  <c:v>0.6316533333333334</c:v>
                </c:pt>
                <c:pt idx="129">
                  <c:v>0.63192000000000004</c:v>
                </c:pt>
                <c:pt idx="130">
                  <c:v>0.63218666666666667</c:v>
                </c:pt>
                <c:pt idx="131">
                  <c:v>0.63245333333333342</c:v>
                </c:pt>
                <c:pt idx="132">
                  <c:v>0.63272000000000006</c:v>
                </c:pt>
                <c:pt idx="133">
                  <c:v>0.6329866666666667</c:v>
                </c:pt>
                <c:pt idx="134">
                  <c:v>0.63325333333333345</c:v>
                </c:pt>
                <c:pt idx="135">
                  <c:v>0.63352000000000008</c:v>
                </c:pt>
                <c:pt idx="136">
                  <c:v>0.63378666666666672</c:v>
                </c:pt>
                <c:pt idx="137">
                  <c:v>0.63405333333333336</c:v>
                </c:pt>
                <c:pt idx="138">
                  <c:v>0.63432000000000011</c:v>
                </c:pt>
                <c:pt idx="139">
                  <c:v>0.63458666666666674</c:v>
                </c:pt>
                <c:pt idx="140">
                  <c:v>0.63485333333333338</c:v>
                </c:pt>
                <c:pt idx="141">
                  <c:v>0.63512000000000002</c:v>
                </c:pt>
                <c:pt idx="142">
                  <c:v>0.63538666666666677</c:v>
                </c:pt>
                <c:pt idx="143">
                  <c:v>0.6356533333333334</c:v>
                </c:pt>
                <c:pt idx="144">
                  <c:v>0.63592000000000004</c:v>
                </c:pt>
                <c:pt idx="145">
                  <c:v>0.63618666666666668</c:v>
                </c:pt>
                <c:pt idx="146">
                  <c:v>0.63645333333333343</c:v>
                </c:pt>
                <c:pt idx="147">
                  <c:v>0.63672000000000006</c:v>
                </c:pt>
                <c:pt idx="148">
                  <c:v>0.6369866666666667</c:v>
                </c:pt>
                <c:pt idx="149">
                  <c:v>0.63725333333333345</c:v>
                </c:pt>
                <c:pt idx="150">
                  <c:v>0.63752000000000009</c:v>
                </c:pt>
              </c:numCache>
            </c:numRef>
          </c:yVal>
          <c:smooth val="1"/>
          <c:extLst>
            <c:ext xmlns:c16="http://schemas.microsoft.com/office/drawing/2014/chart" uri="{C3380CC4-5D6E-409C-BE32-E72D297353CC}">
              <c16:uniqueId val="{00000002-8AEF-4CD2-9E91-5056CF00EB36}"/>
            </c:ext>
          </c:extLst>
        </c:ser>
        <c:ser>
          <c:idx val="3"/>
          <c:order val="3"/>
          <c:tx>
            <c:v>RCS</c:v>
          </c:tx>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Eff_vs_IOUT!$AO$7:$AO$157</c:f>
              <c:numCache>
                <c:formatCode>General</c:formatCode>
                <c:ptCount val="151"/>
                <c:pt idx="0">
                  <c:v>0</c:v>
                </c:pt>
                <c:pt idx="1">
                  <c:v>1.9396150024411013E-6</c:v>
                </c:pt>
                <c:pt idx="2">
                  <c:v>5.4860596844690561E-6</c:v>
                </c:pt>
                <c:pt idx="3">
                  <c:v>1.0078535194052459E-5</c:v>
                </c:pt>
                <c:pt idx="4">
                  <c:v>1.5516920019528814E-5</c:v>
                </c:pt>
                <c:pt idx="5">
                  <c:v>2.1685554978183611E-5</c:v>
                </c:pt>
                <c:pt idx="6">
                  <c:v>2.850640232056708E-5</c:v>
                </c:pt>
                <c:pt idx="7">
                  <c:v>3.5922172549683647E-5</c:v>
                </c:pt>
                <c:pt idx="8">
                  <c:v>4.3888477475752462E-5</c:v>
                </c:pt>
                <c:pt idx="9">
                  <c:v>5.2369605065909742E-5</c:v>
                </c:pt>
                <c:pt idx="10">
                  <c:v>6.1336011915469286E-5</c:v>
                </c:pt>
                <c:pt idx="11">
                  <c:v>7.0762727209255485E-5</c:v>
                </c:pt>
                <c:pt idx="12">
                  <c:v>8.0628281552419658E-5</c:v>
                </c:pt>
                <c:pt idx="13">
                  <c:v>9.0913957497487847E-5</c:v>
                </c:pt>
                <c:pt idx="14">
                  <c:v>1.0160324721933819E-4</c:v>
                </c:pt>
                <c:pt idx="15">
                  <c:v>1.1268144903762666E-4</c:v>
                </c:pt>
                <c:pt idx="16">
                  <c:v>1.2413536015623049E-4</c:v>
                </c:pt>
                <c:pt idx="17">
                  <c:v>1.359530379776543E-4</c:v>
                </c:pt>
                <c:pt idx="18">
                  <c:v>1.7451571700719763E-4</c:v>
                </c:pt>
                <c:pt idx="19">
                  <c:v>1.90360624414605E-4</c:v>
                </c:pt>
                <c:pt idx="20">
                  <c:v>2.0706201330349382E-4</c:v>
                </c:pt>
                <c:pt idx="21">
                  <c:v>2.2461988367386413E-4</c:v>
                </c:pt>
                <c:pt idx="22">
                  <c:v>2.4303423552571616E-4</c:v>
                </c:pt>
                <c:pt idx="23">
                  <c:v>2.6230506885904949E-4</c:v>
                </c:pt>
                <c:pt idx="24">
                  <c:v>2.8243238367386411E-4</c:v>
                </c:pt>
                <c:pt idx="25">
                  <c:v>3.0341617997016061E-4</c:v>
                </c:pt>
                <c:pt idx="26">
                  <c:v>3.2525645774793835E-4</c:v>
                </c:pt>
                <c:pt idx="27">
                  <c:v>3.4795321700719755E-4</c:v>
                </c:pt>
                <c:pt idx="28">
                  <c:v>3.715064577479382E-4</c:v>
                </c:pt>
                <c:pt idx="29">
                  <c:v>3.9591617997016053E-4</c:v>
                </c:pt>
                <c:pt idx="30">
                  <c:v>4.2118238367386431E-4</c:v>
                </c:pt>
                <c:pt idx="31">
                  <c:v>4.4730506885904949E-4</c:v>
                </c:pt>
                <c:pt idx="32">
                  <c:v>4.7428423552571601E-4</c:v>
                </c:pt>
                <c:pt idx="33">
                  <c:v>5.0211988367386453E-4</c:v>
                </c:pt>
                <c:pt idx="34">
                  <c:v>5.308120133034938E-4</c:v>
                </c:pt>
                <c:pt idx="35">
                  <c:v>5.6036062441460518E-4</c:v>
                </c:pt>
                <c:pt idx="36">
                  <c:v>5.907657170071979E-4</c:v>
                </c:pt>
                <c:pt idx="37">
                  <c:v>6.2202729108127176E-4</c:v>
                </c:pt>
                <c:pt idx="38">
                  <c:v>6.5414534663682706E-4</c:v>
                </c:pt>
                <c:pt idx="39">
                  <c:v>6.8711988367386404E-4</c:v>
                </c:pt>
                <c:pt idx="40">
                  <c:v>7.2095090219238313E-4</c:v>
                </c:pt>
                <c:pt idx="41">
                  <c:v>7.5563840219238301E-4</c:v>
                </c:pt>
                <c:pt idx="42">
                  <c:v>7.9118238367386414E-4</c:v>
                </c:pt>
                <c:pt idx="43">
                  <c:v>8.2758284663682694E-4</c:v>
                </c:pt>
                <c:pt idx="44">
                  <c:v>8.6483979108127216E-4</c:v>
                </c:pt>
                <c:pt idx="45">
                  <c:v>9.0295321700719787E-4</c:v>
                </c:pt>
                <c:pt idx="46">
                  <c:v>9.4192312441460492E-4</c:v>
                </c:pt>
                <c:pt idx="47">
                  <c:v>9.8174951330349397E-4</c:v>
                </c:pt>
                <c:pt idx="48">
                  <c:v>1.0224323836738646E-3</c:v>
                </c:pt>
                <c:pt idx="49">
                  <c:v>1.0639717355257164E-3</c:v>
                </c:pt>
                <c:pt idx="50">
                  <c:v>1.1063675688590502E-3</c:v>
                </c:pt>
                <c:pt idx="51">
                  <c:v>1.1496198836738645E-3</c:v>
                </c:pt>
                <c:pt idx="52">
                  <c:v>1.1937286799701607E-3</c:v>
                </c:pt>
                <c:pt idx="53">
                  <c:v>1.2386939577479388E-3</c:v>
                </c:pt>
                <c:pt idx="54">
                  <c:v>1.2845157170071975E-3</c:v>
                </c:pt>
                <c:pt idx="55">
                  <c:v>1.3311939577479385E-3</c:v>
                </c:pt>
                <c:pt idx="56">
                  <c:v>1.3787286799701601E-3</c:v>
                </c:pt>
                <c:pt idx="57">
                  <c:v>1.427119883673864E-3</c:v>
                </c:pt>
                <c:pt idx="58">
                  <c:v>1.4763675688590492E-3</c:v>
                </c:pt>
                <c:pt idx="59">
                  <c:v>1.5264717355257162E-3</c:v>
                </c:pt>
                <c:pt idx="60">
                  <c:v>1.5774323836738652E-3</c:v>
                </c:pt>
                <c:pt idx="61">
                  <c:v>1.6292495133034938E-3</c:v>
                </c:pt>
                <c:pt idx="62">
                  <c:v>1.6819231244146055E-3</c:v>
                </c:pt>
                <c:pt idx="63">
                  <c:v>1.7354532170071972E-3</c:v>
                </c:pt>
                <c:pt idx="64">
                  <c:v>1.7898397910812718E-3</c:v>
                </c:pt>
                <c:pt idx="65">
                  <c:v>1.8450828466368275E-3</c:v>
                </c:pt>
                <c:pt idx="66">
                  <c:v>1.9011823836738639E-3</c:v>
                </c:pt>
                <c:pt idx="67">
                  <c:v>1.958138402192383E-3</c:v>
                </c:pt>
                <c:pt idx="68">
                  <c:v>2.0159509021923832E-3</c:v>
                </c:pt>
                <c:pt idx="69">
                  <c:v>2.0746198836738643E-3</c:v>
                </c:pt>
                <c:pt idx="70">
                  <c:v>2.1341453466368278E-3</c:v>
                </c:pt>
                <c:pt idx="71">
                  <c:v>2.1945272910812719E-3</c:v>
                </c:pt>
                <c:pt idx="72">
                  <c:v>2.2557657170071987E-3</c:v>
                </c:pt>
                <c:pt idx="73">
                  <c:v>2.3178606244146044E-3</c:v>
                </c:pt>
                <c:pt idx="74">
                  <c:v>2.3808120133034932E-3</c:v>
                </c:pt>
                <c:pt idx="75">
                  <c:v>2.4446198836738644E-3</c:v>
                </c:pt>
                <c:pt idx="76">
                  <c:v>2.5092842355257162E-3</c:v>
                </c:pt>
                <c:pt idx="77">
                  <c:v>2.5748050688590494E-3</c:v>
                </c:pt>
                <c:pt idx="78">
                  <c:v>2.6411823836738645E-3</c:v>
                </c:pt>
                <c:pt idx="79">
                  <c:v>2.7084161799701607E-3</c:v>
                </c:pt>
                <c:pt idx="80">
                  <c:v>2.7765064577479391E-3</c:v>
                </c:pt>
                <c:pt idx="81">
                  <c:v>2.8454532170071978E-3</c:v>
                </c:pt>
                <c:pt idx="82">
                  <c:v>2.9152564577479396E-3</c:v>
                </c:pt>
                <c:pt idx="83">
                  <c:v>2.9859161799701607E-3</c:v>
                </c:pt>
                <c:pt idx="84">
                  <c:v>3.0574323836738654E-3</c:v>
                </c:pt>
                <c:pt idx="85">
                  <c:v>3.1298050688590502E-3</c:v>
                </c:pt>
                <c:pt idx="86">
                  <c:v>3.2030342355257166E-3</c:v>
                </c:pt>
                <c:pt idx="87">
                  <c:v>3.2771198836738656E-3</c:v>
                </c:pt>
                <c:pt idx="88">
                  <c:v>3.3520620133034953E-3</c:v>
                </c:pt>
                <c:pt idx="89">
                  <c:v>3.4278606244146068E-3</c:v>
                </c:pt>
                <c:pt idx="90">
                  <c:v>3.5045157170071986E-3</c:v>
                </c:pt>
                <c:pt idx="91">
                  <c:v>3.5820272910812717E-3</c:v>
                </c:pt>
                <c:pt idx="92">
                  <c:v>3.6603953466368272E-3</c:v>
                </c:pt>
                <c:pt idx="93">
                  <c:v>3.739619883673865E-3</c:v>
                </c:pt>
                <c:pt idx="94">
                  <c:v>3.8197009021923825E-3</c:v>
                </c:pt>
                <c:pt idx="95">
                  <c:v>3.9006384021923824E-3</c:v>
                </c:pt>
                <c:pt idx="96">
                  <c:v>3.9824323836738654E-3</c:v>
                </c:pt>
                <c:pt idx="97">
                  <c:v>4.0650828466368286E-3</c:v>
                </c:pt>
                <c:pt idx="98">
                  <c:v>4.1485897910812719E-3</c:v>
                </c:pt>
                <c:pt idx="99">
                  <c:v>4.232953217007198E-3</c:v>
                </c:pt>
                <c:pt idx="100">
                  <c:v>4.318173124414606E-3</c:v>
                </c:pt>
                <c:pt idx="101">
                  <c:v>4.404249513303495E-3</c:v>
                </c:pt>
                <c:pt idx="102">
                  <c:v>4.4911823836738651E-3</c:v>
                </c:pt>
                <c:pt idx="103">
                  <c:v>4.5789717355257161E-3</c:v>
                </c:pt>
                <c:pt idx="104">
                  <c:v>4.6676175688590482E-3</c:v>
                </c:pt>
                <c:pt idx="105">
                  <c:v>4.757119883673863E-3</c:v>
                </c:pt>
                <c:pt idx="106">
                  <c:v>4.8474786799701597E-3</c:v>
                </c:pt>
                <c:pt idx="107">
                  <c:v>4.9386939577479392E-3</c:v>
                </c:pt>
                <c:pt idx="108">
                  <c:v>5.0307657170071979E-3</c:v>
                </c:pt>
                <c:pt idx="109">
                  <c:v>5.1236939577479377E-3</c:v>
                </c:pt>
                <c:pt idx="110">
                  <c:v>5.217478679970162E-3</c:v>
                </c:pt>
                <c:pt idx="111">
                  <c:v>5.3121198836738655E-3</c:v>
                </c:pt>
                <c:pt idx="112">
                  <c:v>5.4076175688590475E-3</c:v>
                </c:pt>
                <c:pt idx="113">
                  <c:v>5.5039717355257166E-3</c:v>
                </c:pt>
                <c:pt idx="114">
                  <c:v>5.6011823836738632E-3</c:v>
                </c:pt>
                <c:pt idx="115">
                  <c:v>5.6992495133034934E-3</c:v>
                </c:pt>
                <c:pt idx="116">
                  <c:v>5.7981731244146056E-3</c:v>
                </c:pt>
                <c:pt idx="117">
                  <c:v>5.8979532170071979E-3</c:v>
                </c:pt>
                <c:pt idx="118">
                  <c:v>5.9985897910812712E-3</c:v>
                </c:pt>
                <c:pt idx="119">
                  <c:v>6.1000828466368246E-3</c:v>
                </c:pt>
                <c:pt idx="120">
                  <c:v>6.202432383673866E-3</c:v>
                </c:pt>
                <c:pt idx="121">
                  <c:v>6.3056384021923841E-3</c:v>
                </c:pt>
                <c:pt idx="122">
                  <c:v>6.4097009021923806E-3</c:v>
                </c:pt>
                <c:pt idx="123">
                  <c:v>6.5146198836738651E-3</c:v>
                </c:pt>
                <c:pt idx="124">
                  <c:v>6.6203953466368254E-3</c:v>
                </c:pt>
                <c:pt idx="125">
                  <c:v>6.7270272910812711E-3</c:v>
                </c:pt>
                <c:pt idx="126">
                  <c:v>6.8345157170071934E-3</c:v>
                </c:pt>
                <c:pt idx="127">
                  <c:v>6.9428606244146028E-3</c:v>
                </c:pt>
                <c:pt idx="128">
                  <c:v>7.0520620133034907E-3</c:v>
                </c:pt>
                <c:pt idx="129">
                  <c:v>7.1621198836738622E-3</c:v>
                </c:pt>
                <c:pt idx="130">
                  <c:v>7.2730342355257155E-3</c:v>
                </c:pt>
                <c:pt idx="131">
                  <c:v>7.3848050688590482E-3</c:v>
                </c:pt>
                <c:pt idx="132">
                  <c:v>7.4974323836738644E-3</c:v>
                </c:pt>
                <c:pt idx="133">
                  <c:v>7.6109161799701609E-3</c:v>
                </c:pt>
                <c:pt idx="134">
                  <c:v>7.7252564577479366E-3</c:v>
                </c:pt>
                <c:pt idx="135">
                  <c:v>7.8404532170071994E-3</c:v>
                </c:pt>
                <c:pt idx="136">
                  <c:v>7.9565064577479354E-3</c:v>
                </c:pt>
                <c:pt idx="137">
                  <c:v>8.0734161799701602E-3</c:v>
                </c:pt>
                <c:pt idx="138">
                  <c:v>8.1911823836738652E-3</c:v>
                </c:pt>
                <c:pt idx="139">
                  <c:v>8.3098050688590486E-3</c:v>
                </c:pt>
                <c:pt idx="140">
                  <c:v>8.4292842355257191E-3</c:v>
                </c:pt>
                <c:pt idx="141">
                  <c:v>8.5496198836738629E-3</c:v>
                </c:pt>
                <c:pt idx="142">
                  <c:v>8.670812013303492E-3</c:v>
                </c:pt>
                <c:pt idx="143">
                  <c:v>8.7928606244146047E-3</c:v>
                </c:pt>
                <c:pt idx="144">
                  <c:v>8.9157657170071958E-3</c:v>
                </c:pt>
                <c:pt idx="145">
                  <c:v>9.0395272910812688E-3</c:v>
                </c:pt>
                <c:pt idx="146">
                  <c:v>9.1641453466368202E-3</c:v>
                </c:pt>
                <c:pt idx="147">
                  <c:v>9.2896198836738639E-3</c:v>
                </c:pt>
                <c:pt idx="148">
                  <c:v>9.4159509021923809E-3</c:v>
                </c:pt>
                <c:pt idx="149">
                  <c:v>9.5431384021923815E-3</c:v>
                </c:pt>
                <c:pt idx="150">
                  <c:v>9.6711823836738622E-3</c:v>
                </c:pt>
              </c:numCache>
            </c:numRef>
          </c:yVal>
          <c:smooth val="1"/>
          <c:extLst>
            <c:ext xmlns:c16="http://schemas.microsoft.com/office/drawing/2014/chart" uri="{C3380CC4-5D6E-409C-BE32-E72D297353CC}">
              <c16:uniqueId val="{00000003-8AEF-4CD2-9E91-5056CF00EB36}"/>
            </c:ext>
          </c:extLst>
        </c:ser>
        <c:dLbls>
          <c:showLegendKey val="0"/>
          <c:showVal val="0"/>
          <c:showCatName val="0"/>
          <c:showSerName val="0"/>
          <c:showPercent val="0"/>
          <c:showBubbleSize val="0"/>
        </c:dLbls>
        <c:axId val="145058432"/>
        <c:axId val="145056896"/>
      </c:scatterChart>
      <c:valAx>
        <c:axId val="145036800"/>
        <c:scaling>
          <c:orientation val="minMax"/>
        </c:scaling>
        <c:delete val="0"/>
        <c:axPos val="b"/>
        <c:majorGridlines/>
        <c:numFmt formatCode="General" sourceLinked="1"/>
        <c:majorTickMark val="out"/>
        <c:minorTickMark val="none"/>
        <c:tickLblPos val="nextTo"/>
        <c:crossAx val="145038336"/>
        <c:crosses val="autoZero"/>
        <c:crossBetween val="midCat"/>
      </c:valAx>
      <c:valAx>
        <c:axId val="145038336"/>
        <c:scaling>
          <c:orientation val="minMax"/>
          <c:max val="10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145036800"/>
        <c:crosses val="autoZero"/>
        <c:crossBetween val="midCat"/>
      </c:valAx>
      <c:valAx>
        <c:axId val="145056896"/>
        <c:scaling>
          <c:orientation val="minMax"/>
        </c:scaling>
        <c:delete val="0"/>
        <c:axPos val="r"/>
        <c:numFmt formatCode="General" sourceLinked="1"/>
        <c:majorTickMark val="out"/>
        <c:minorTickMark val="none"/>
        <c:tickLblPos val="nextTo"/>
        <c:crossAx val="145058432"/>
        <c:crosses val="max"/>
        <c:crossBetween val="midCat"/>
      </c:valAx>
      <c:valAx>
        <c:axId val="145058432"/>
        <c:scaling>
          <c:orientation val="minMax"/>
        </c:scaling>
        <c:delete val="1"/>
        <c:axPos val="b"/>
        <c:numFmt formatCode="General" sourceLinked="1"/>
        <c:majorTickMark val="out"/>
        <c:minorTickMark val="none"/>
        <c:tickLblPos val="nextTo"/>
        <c:crossAx val="145056896"/>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Loop_Modeling!$AD$19:$AD$560</c:f>
              <c:numCache>
                <c:formatCode>0.000</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0-B561-4C80-890B-643E0BF90D63}"/>
            </c:ext>
          </c:extLst>
        </c:ser>
        <c:dLbls>
          <c:showLegendKey val="0"/>
          <c:showVal val="0"/>
          <c:showCatName val="0"/>
          <c:showSerName val="0"/>
          <c:showPercent val="0"/>
          <c:showBubbleSize val="0"/>
        </c:dLbls>
        <c:axId val="162497664"/>
        <c:axId val="162499584"/>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Loop_Modeling!$AE$19:$AE$560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1-B561-4C80-890B-643E0BF90D63}"/>
            </c:ext>
          </c:extLst>
        </c:ser>
        <c:dLbls>
          <c:showLegendKey val="0"/>
          <c:showVal val="0"/>
          <c:showCatName val="0"/>
          <c:showSerName val="0"/>
          <c:showPercent val="0"/>
          <c:showBubbleSize val="0"/>
        </c:dLbls>
        <c:axId val="162527872"/>
        <c:axId val="162526336"/>
      </c:scatterChart>
      <c:valAx>
        <c:axId val="1624976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2499584"/>
        <c:crosses val="autoZero"/>
        <c:crossBetween val="midCat"/>
      </c:valAx>
      <c:valAx>
        <c:axId val="1624995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2497664"/>
        <c:crosses val="autoZero"/>
        <c:crossBetween val="midCat"/>
        <c:majorUnit val="20"/>
        <c:minorUnit val="10"/>
      </c:valAx>
      <c:valAx>
        <c:axId val="162526336"/>
        <c:scaling>
          <c:orientation val="minMax"/>
          <c:max val="180"/>
          <c:min val="-180"/>
        </c:scaling>
        <c:delete val="0"/>
        <c:axPos val="r"/>
        <c:numFmt formatCode="General" sourceLinked="1"/>
        <c:majorTickMark val="out"/>
        <c:minorTickMark val="none"/>
        <c:tickLblPos val="nextTo"/>
        <c:crossAx val="162527872"/>
        <c:crosses val="max"/>
        <c:crossBetween val="midCat"/>
        <c:majorUnit val="90"/>
        <c:minorUnit val="45"/>
      </c:valAx>
      <c:valAx>
        <c:axId val="162527872"/>
        <c:scaling>
          <c:logBase val="10"/>
          <c:orientation val="minMax"/>
        </c:scaling>
        <c:delete val="1"/>
        <c:axPos val="b"/>
        <c:numFmt formatCode="0.00" sourceLinked="1"/>
        <c:majorTickMark val="out"/>
        <c:minorTickMark val="none"/>
        <c:tickLblPos val="nextTo"/>
        <c:crossAx val="16252633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Loop_Modeling!$AQ$19:$AQ$560</c:f>
              <c:numCache>
                <c:formatCode>General</c:formatCode>
                <c:ptCount val="542"/>
                <c:pt idx="0">
                  <c:v>22.147938441320729</c:v>
                </c:pt>
                <c:pt idx="1">
                  <c:v>21.947979380765887</c:v>
                </c:pt>
                <c:pt idx="2">
                  <c:v>21.74802224921395</c:v>
                </c:pt>
                <c:pt idx="3">
                  <c:v>21.548067137536165</c:v>
                </c:pt>
                <c:pt idx="4">
                  <c:v>21.348114140882458</c:v>
                </c:pt>
                <c:pt idx="5">
                  <c:v>21.148163358882798</c:v>
                </c:pt>
                <c:pt idx="6">
                  <c:v>20.948214895858182</c:v>
                </c:pt>
                <c:pt idx="7">
                  <c:v>20.7482688610407</c:v>
                </c:pt>
                <c:pt idx="8">
                  <c:v>20.548325368805113</c:v>
                </c:pt>
                <c:pt idx="9">
                  <c:v>20.348384538910263</c:v>
                </c:pt>
                <c:pt idx="10">
                  <c:v>20.148446496752314</c:v>
                </c:pt>
                <c:pt idx="11">
                  <c:v>19.948511373629941</c:v>
                </c:pt>
                <c:pt idx="12">
                  <c:v>19.748579307021711</c:v>
                </c:pt>
                <c:pt idx="13">
                  <c:v>19.548650440876433</c:v>
                </c:pt>
                <c:pt idx="14">
                  <c:v>19.348724925917452</c:v>
                </c:pt>
                <c:pt idx="15">
                  <c:v>19.148802919960858</c:v>
                </c:pt>
                <c:pt idx="16">
                  <c:v>18.948884588248763</c:v>
                </c:pt>
                <c:pt idx="17">
                  <c:v>18.7489701037982</c:v>
                </c:pt>
                <c:pt idx="18">
                  <c:v>18.549059647766228</c:v>
                </c:pt>
                <c:pt idx="19">
                  <c:v>18.349153409832301</c:v>
                </c:pt>
                <c:pt idx="20">
                  <c:v>18.149251588598403</c:v>
                </c:pt>
                <c:pt idx="21">
                  <c:v>17.94935439200793</c:v>
                </c:pt>
                <c:pt idx="22">
                  <c:v>17.749462037784205</c:v>
                </c:pt>
                <c:pt idx="23">
                  <c:v>17.549574753889434</c:v>
                </c:pt>
                <c:pt idx="24">
                  <c:v>17.349692779005</c:v>
                </c:pt>
                <c:pt idx="25">
                  <c:v>17.149816363034546</c:v>
                </c:pt>
                <c:pt idx="26">
                  <c:v>16.949945767630105</c:v>
                </c:pt>
                <c:pt idx="27">
                  <c:v>16.750081266742978</c:v>
                </c:pt>
                <c:pt idx="28">
                  <c:v>16.550223147200477</c:v>
                </c:pt>
                <c:pt idx="29">
                  <c:v>16.350371709309194</c:v>
                </c:pt>
                <c:pt idx="30">
                  <c:v>16.150527267486648</c:v>
                </c:pt>
                <c:pt idx="31">
                  <c:v>15.950690150922249</c:v>
                </c:pt>
                <c:pt idx="32">
                  <c:v>15.750860704268954</c:v>
                </c:pt>
                <c:pt idx="33">
                  <c:v>15.551039288367363</c:v>
                </c:pt>
                <c:pt idx="34">
                  <c:v>15.351226281003123</c:v>
                </c:pt>
                <c:pt idx="35">
                  <c:v>15.151422077699559</c:v>
                </c:pt>
                <c:pt idx="36">
                  <c:v>14.951627092547493</c:v>
                </c:pt>
                <c:pt idx="37">
                  <c:v>14.751841759073105</c:v>
                </c:pt>
                <c:pt idx="38">
                  <c:v>14.552066531146099</c:v>
                </c:pt>
                <c:pt idx="39">
                  <c:v>14.352301883930243</c:v>
                </c:pt>
                <c:pt idx="40">
                  <c:v>14.152548314877425</c:v>
                </c:pt>
                <c:pt idx="41">
                  <c:v>13.952806344768069</c:v>
                </c:pt>
                <c:pt idx="42">
                  <c:v>13.753076518799347</c:v>
                </c:pt>
                <c:pt idx="43">
                  <c:v>13.553359407723686</c:v>
                </c:pt>
                <c:pt idx="44">
                  <c:v>13.353655609039947</c:v>
                </c:pt>
                <c:pt idx="45">
                  <c:v>13.153965748239134</c:v>
                </c:pt>
                <c:pt idx="46">
                  <c:v>12.954290480107558</c:v>
                </c:pt>
                <c:pt idx="47">
                  <c:v>12.754630490089944</c:v>
                </c:pt>
                <c:pt idx="48">
                  <c:v>12.554986495714996</c:v>
                </c:pt>
                <c:pt idx="49">
                  <c:v>12.355359248086357</c:v>
                </c:pt>
                <c:pt idx="50">
                  <c:v>12.155749533441769</c:v>
                </c:pt>
                <c:pt idx="51">
                  <c:v>11.956158174783383</c:v>
                </c:pt>
                <c:pt idx="52">
                  <c:v>11.756586033582794</c:v>
                </c:pt>
                <c:pt idx="53">
                  <c:v>11.557034011563399</c:v>
                </c:pt>
                <c:pt idx="54">
                  <c:v>11.357503052564129</c:v>
                </c:pt>
                <c:pt idx="55">
                  <c:v>11.157994144487473</c:v>
                </c:pt>
                <c:pt idx="56">
                  <c:v>10.958508321336257</c:v>
                </c:pt>
                <c:pt idx="57">
                  <c:v>10.759046665342245</c:v>
                </c:pt>
                <c:pt idx="58">
                  <c:v>10.559610309190814</c:v>
                </c:pt>
                <c:pt idx="59">
                  <c:v>10.360200438346325</c:v>
                </c:pt>
                <c:pt idx="60">
                  <c:v>10.160818293481382</c:v>
                </c:pt>
                <c:pt idx="61">
                  <c:v>9.9614651730156254</c:v>
                </c:pt>
                <c:pt idx="62">
                  <c:v>9.762142435767764</c:v>
                </c:pt>
                <c:pt idx="63">
                  <c:v>9.5628515037263835</c:v>
                </c:pt>
                <c:pt idx="64">
                  <c:v>9.363593864943434</c:v>
                </c:pt>
                <c:pt idx="65">
                  <c:v>9.1643710765569892</c:v>
                </c:pt>
                <c:pt idx="66">
                  <c:v>8.9651847679470169</c:v>
                </c:pt>
                <c:pt idx="67">
                  <c:v>8.7660366440309154</c:v>
                </c:pt>
                <c:pt idx="68">
                  <c:v>8.5669284887036632</c:v>
                </c:pt>
                <c:pt idx="69">
                  <c:v>8.3678621684287986</c:v>
                </c:pt>
                <c:pt idx="70">
                  <c:v>8.1688396359863411</c:v>
                </c:pt>
                <c:pt idx="71">
                  <c:v>7.9698629343834266</c:v>
                </c:pt>
                <c:pt idx="72">
                  <c:v>7.7709342009345477</c:v>
                </c:pt>
                <c:pt idx="73">
                  <c:v>7.5720556715177265</c:v>
                </c:pt>
                <c:pt idx="74">
                  <c:v>7.37322968501344</c:v>
                </c:pt>
                <c:pt idx="75">
                  <c:v>7.1744586879332681</c:v>
                </c:pt>
                <c:pt idx="76">
                  <c:v>6.9757452392452288</c:v>
                </c:pt>
                <c:pt idx="77">
                  <c:v>6.7770920154032641</c:v>
                </c:pt>
                <c:pt idx="78">
                  <c:v>6.5785018155884956</c:v>
                </c:pt>
                <c:pt idx="79">
                  <c:v>6.3799775671690409</c:v>
                </c:pt>
                <c:pt idx="80">
                  <c:v>6.1815223313871916</c:v>
                </c:pt>
                <c:pt idx="81">
                  <c:v>5.983139309281194</c:v>
                </c:pt>
                <c:pt idx="82">
                  <c:v>5.784831847849504</c:v>
                </c:pt>
                <c:pt idx="83">
                  <c:v>5.5866034464660386</c:v>
                </c:pt>
                <c:pt idx="84">
                  <c:v>5.3884577635542277</c:v>
                </c:pt>
                <c:pt idx="85">
                  <c:v>5.1903986235283881</c:v>
                </c:pt>
                <c:pt idx="86">
                  <c:v>4.9924300240100266</c:v>
                </c:pt>
                <c:pt idx="87">
                  <c:v>4.7945561433281005</c:v>
                </c:pt>
                <c:pt idx="88">
                  <c:v>4.5967813483109721</c:v>
                </c:pt>
                <c:pt idx="89">
                  <c:v>4.3991102023779431</c:v>
                </c:pt>
                <c:pt idx="90">
                  <c:v>4.2015474739396872</c:v>
                </c:pt>
                <c:pt idx="91">
                  <c:v>4.0040981451127875</c:v>
                </c:pt>
                <c:pt idx="92">
                  <c:v>3.8067674207593356</c:v>
                </c:pt>
                <c:pt idx="93">
                  <c:v>3.609560737856397</c:v>
                </c:pt>
                <c:pt idx="94">
                  <c:v>3.4124837752034014</c:v>
                </c:pt>
                <c:pt idx="95">
                  <c:v>3.215542463474121</c:v>
                </c:pt>
                <c:pt idx="96">
                  <c:v>3.0187429956191241</c:v>
                </c:pt>
                <c:pt idx="97">
                  <c:v>2.8220918376249662</c:v>
                </c:pt>
                <c:pt idx="98">
                  <c:v>2.6255957396330514</c:v>
                </c:pt>
                <c:pt idx="99">
                  <c:v>2.4292617474257852</c:v>
                </c:pt>
                <c:pt idx="100">
                  <c:v>2.2330972142792822</c:v>
                </c:pt>
                <c:pt idx="101">
                  <c:v>2.0371098131886858</c:v>
                </c:pt>
                <c:pt idx="102">
                  <c:v>1.8413075494642095</c:v>
                </c:pt>
                <c:pt idx="103">
                  <c:v>1.6456987736999908</c:v>
                </c:pt>
                <c:pt idx="104">
                  <c:v>1.4502921951126093</c:v>
                </c:pt>
                <c:pt idx="105">
                  <c:v>1.2550968952479338</c:v>
                </c:pt>
                <c:pt idx="106">
                  <c:v>1.0601223420496053</c:v>
                </c:pt>
                <c:pt idx="107">
                  <c:v>0.86537840428357227</c:v>
                </c:pt>
                <c:pt idx="108">
                  <c:v>0.67087536630935574</c:v>
                </c:pt>
                <c:pt idx="109">
                  <c:v>0.47662394318667778</c:v>
                </c:pt>
                <c:pt idx="110">
                  <c:v>0.28263529610334021</c:v>
                </c:pt>
                <c:pt idx="111">
                  <c:v>8.8921048108031392E-2</c:v>
                </c:pt>
                <c:pt idx="112">
                  <c:v>-0.10450669987181667</c:v>
                </c:pt>
                <c:pt idx="113">
                  <c:v>-0.29763535275159075</c:v>
                </c:pt>
                <c:pt idx="114">
                  <c:v>-0.49045180477541445</c:v>
                </c:pt>
                <c:pt idx="115">
                  <c:v>-0.682942422798964</c:v>
                </c:pt>
                <c:pt idx="116">
                  <c:v>-0.87509302940333933</c:v>
                </c:pt>
                <c:pt idx="117">
                  <c:v>-1.0668888858801948</c:v>
                </c:pt>
                <c:pt idx="118">
                  <c:v>-1.258314675132721</c:v>
                </c:pt>
                <c:pt idx="119">
                  <c:v>-1.4493544845417594</c:v>
                </c:pt>
                <c:pt idx="120">
                  <c:v>-1.6399917888536129</c:v>
                </c:pt>
                <c:pt idx="121">
                  <c:v>-1.8302094331495489</c:v>
                </c:pt>
                <c:pt idx="122">
                  <c:v>-2.0199896159658017</c:v>
                </c:pt>
                <c:pt idx="123">
                  <c:v>-2.2093138726375696</c:v>
                </c:pt>
                <c:pt idx="124">
                  <c:v>-2.3981630589484899</c:v>
                </c:pt>
                <c:pt idx="125">
                  <c:v>-2.5865173351737418</c:v>
                </c:pt>
                <c:pt idx="126">
                  <c:v>-2.7743561506128072</c:v>
                </c:pt>
                <c:pt idx="127">
                  <c:v>-2.9616582287156406</c:v>
                </c:pt>
                <c:pt idx="128">
                  <c:v>-3.1484015529135778</c:v>
                </c:pt>
                <c:pt idx="129">
                  <c:v>-3.3345633532753984</c:v>
                </c:pt>
                <c:pt idx="130">
                  <c:v>-3.5201200941166317</c:v>
                </c:pt>
                <c:pt idx="131">
                  <c:v>-3.705047462698245</c:v>
                </c:pt>
                <c:pt idx="132">
                  <c:v>-3.889320359161053</c:v>
                </c:pt>
                <c:pt idx="133">
                  <c:v>-4.0729128878478864</c:v>
                </c:pt>
                <c:pt idx="134">
                  <c:v>-4.2557983501767653</c:v>
                </c:pt>
                <c:pt idx="135">
                  <c:v>-4.4379492392329549</c:v>
                </c:pt>
                <c:pt idx="136">
                  <c:v>-4.6193372362593701</c:v>
                </c:pt>
                <c:pt idx="137">
                  <c:v>-4.7999332092272153</c:v>
                </c:pt>
                <c:pt idx="138">
                  <c:v>-4.9797072136794771</c:v>
                </c:pt>
                <c:pt idx="139">
                  <c:v>-5.1586284960422066</c:v>
                </c:pt>
                <c:pt idx="140">
                  <c:v>-5.3366654996053295</c:v>
                </c:pt>
                <c:pt idx="141">
                  <c:v>-5.5137858733766905</c:v>
                </c:pt>
                <c:pt idx="142">
                  <c:v>-5.6899564840158314</c:v>
                </c:pt>
                <c:pt idx="143">
                  <c:v>-5.8651434310547206</c:v>
                </c:pt>
                <c:pt idx="144">
                  <c:v>-6.0393120656104813</c:v>
                </c:pt>
                <c:pt idx="145">
                  <c:v>-6.2124270127934986</c:v>
                </c:pt>
                <c:pt idx="146">
                  <c:v>-6.3844521980070716</c:v>
                </c:pt>
                <c:pt idx="147">
                  <c:v>-6.5553508773284488</c:v>
                </c:pt>
                <c:pt idx="148">
                  <c:v>-6.7250856721501719</c:v>
                </c:pt>
                <c:pt idx="149">
                  <c:v>-6.893618608247067</c:v>
                </c:pt>
                <c:pt idx="150">
                  <c:v>-7.0609111594191978</c:v>
                </c:pt>
                <c:pt idx="151">
                  <c:v>-7.2269242958400159</c:v>
                </c:pt>
                <c:pt idx="152">
                  <c:v>-7.3916185372183136</c:v>
                </c:pt>
                <c:pt idx="153">
                  <c:v>-7.5549540108550737</c:v>
                </c:pt>
                <c:pt idx="154">
                  <c:v>-7.7168905146479485</c:v>
                </c:pt>
                <c:pt idx="155">
                  <c:v>-7.8773875850627997</c:v>
                </c:pt>
                <c:pt idx="156">
                  <c:v>-8.0364045700555096</c:v>
                </c:pt>
                <c:pt idx="157">
                  <c:v>-8.1939007068881367</c:v>
                </c:pt>
                <c:pt idx="158">
                  <c:v>-8.3498352047412698</c:v>
                </c:pt>
                <c:pt idx="159">
                  <c:v>-8.5041673319776727</c:v>
                </c:pt>
                <c:pt idx="160">
                  <c:v>-8.6568565078661628</c:v>
                </c:pt>
                <c:pt idx="161">
                  <c:v>-8.8078623985235041</c:v>
                </c:pt>
                <c:pt idx="162">
                  <c:v>-8.9571450167810625</c:v>
                </c:pt>
                <c:pt idx="163">
                  <c:v>-9.104664825629877</c:v>
                </c:pt>
                <c:pt idx="164">
                  <c:v>-9.250382844844939</c:v>
                </c:pt>
                <c:pt idx="165">
                  <c:v>-9.3942607603373904</c:v>
                </c:pt>
                <c:pt idx="166">
                  <c:v>-9.5362610357295612</c:v>
                </c:pt>
                <c:pt idx="167">
                  <c:v>-9.6763470256016877</c:v>
                </c:pt>
                <c:pt idx="168">
                  <c:v>-9.8144830898078688</c:v>
                </c:pt>
                <c:pt idx="169">
                  <c:v>-9.9506347082194964</c:v>
                </c:pt>
                <c:pt idx="170">
                  <c:v>-10.084768595213001</c:v>
                </c:pt>
                <c:pt idx="171">
                  <c:v>-10.216852813187487</c:v>
                </c:pt>
                <c:pt idx="172">
                  <c:v>-10.346856884370473</c:v>
                </c:pt>
                <c:pt idx="173">
                  <c:v>-10.47475190014916</c:v>
                </c:pt>
                <c:pt idx="174">
                  <c:v>-10.60051062715608</c:v>
                </c:pt>
                <c:pt idx="175">
                  <c:v>-10.724107609331622</c:v>
                </c:pt>
                <c:pt idx="176">
                  <c:v>-10.845519265193445</c:v>
                </c:pt>
                <c:pt idx="177">
                  <c:v>-10.964723979558194</c:v>
                </c:pt>
                <c:pt idx="178">
                  <c:v>-11.081702188985233</c:v>
                </c:pt>
                <c:pt idx="179">
                  <c:v>-11.196436460246309</c:v>
                </c:pt>
                <c:pt idx="180">
                  <c:v>-11.30891156116987</c:v>
                </c:pt>
                <c:pt idx="181">
                  <c:v>-11.41911452326077</c:v>
                </c:pt>
                <c:pt idx="182">
                  <c:v>-11.527034695558065</c:v>
                </c:pt>
                <c:pt idx="183">
                  <c:v>-11.632663789262757</c:v>
                </c:pt>
                <c:pt idx="184">
                  <c:v>-11.735995912743162</c:v>
                </c:pt>
                <c:pt idx="185">
                  <c:v>-11.837027596608539</c:v>
                </c:pt>
                <c:pt idx="186">
                  <c:v>-11.935757808627505</c:v>
                </c:pt>
                <c:pt idx="187">
                  <c:v>-12.032187958358824</c:v>
                </c:pt>
                <c:pt idx="188">
                  <c:v>-12.126321891452964</c:v>
                </c:pt>
                <c:pt idx="189">
                  <c:v>-12.218165873678</c:v>
                </c:pt>
                <c:pt idx="190">
                  <c:v>-12.307728564812276</c:v>
                </c:pt>
                <c:pt idx="191">
                  <c:v>-12.395020982640565</c:v>
                </c:pt>
                <c:pt idx="192">
                  <c:v>-12.4800564573712</c:v>
                </c:pt>
                <c:pt idx="193">
                  <c:v>-12.56285057687826</c:v>
                </c:pt>
                <c:pt idx="194">
                  <c:v>-12.643421123245259</c:v>
                </c:pt>
                <c:pt idx="195">
                  <c:v>-12.721788001155847</c:v>
                </c:pt>
                <c:pt idx="196">
                  <c:v>-12.797973158738067</c:v>
                </c:pt>
                <c:pt idx="197">
                  <c:v>-12.872000501520089</c:v>
                </c:pt>
                <c:pt idx="198">
                  <c:v>-12.943895800197673</c:v>
                </c:pt>
                <c:pt idx="199">
                  <c:v>-13.013686592948364</c:v>
                </c:pt>
                <c:pt idx="200">
                  <c:v>-13.081402083049774</c:v>
                </c:pt>
                <c:pt idx="201">
                  <c:v>-13.147073032572887</c:v>
                </c:pt>
                <c:pt idx="202">
                  <c:v>-13.210731652928423</c:v>
                </c:pt>
                <c:pt idx="203">
                  <c:v>-13.272411493038526</c:v>
                </c:pt>
                <c:pt idx="204">
                  <c:v>-13.332147325892727</c:v>
                </c:pt>
                <c:pt idx="205">
                  <c:v>-13.389975034228501</c:v>
                </c:pt>
                <c:pt idx="206">
                  <c:v>-13.445931496048251</c:v>
                </c:pt>
                <c:pt idx="207">
                  <c:v>-13.500054470651172</c:v>
                </c:pt>
                <c:pt idx="208">
                  <c:v>-13.552382485817398</c:v>
                </c:pt>
                <c:pt idx="209">
                  <c:v>-13.602954726742485</c:v>
                </c:pt>
                <c:pt idx="210">
                  <c:v>-13.651810927267762</c:v>
                </c:pt>
                <c:pt idx="211">
                  <c:v>-13.698991263905771</c:v>
                </c:pt>
                <c:pt idx="212">
                  <c:v>-13.744536253106714</c:v>
                </c:pt>
                <c:pt idx="213">
                  <c:v>-13.788486652159744</c:v>
                </c:pt>
                <c:pt idx="214">
                  <c:v>-13.830883364068745</c:v>
                </c:pt>
                <c:pt idx="215">
                  <c:v>-13.87176734669141</c:v>
                </c:pt>
                <c:pt idx="216">
                  <c:v>-13.911179526376747</c:v>
                </c:pt>
                <c:pt idx="217">
                  <c:v>-13.949160716289203</c:v>
                </c:pt>
                <c:pt idx="218">
                  <c:v>-13.98575153955756</c:v>
                </c:pt>
                <c:pt idx="219">
                  <c:v>-14.020992357342625</c:v>
                </c:pt>
                <c:pt idx="220">
                  <c:v>-14.054923201876665</c:v>
                </c:pt>
                <c:pt idx="221">
                  <c:v>-14.087583714486072</c:v>
                </c:pt>
                <c:pt idx="222">
                  <c:v>-14.119013088575784</c:v>
                </c:pt>
                <c:pt idx="223">
                  <c:v>-14.149250017519666</c:v>
                </c:pt>
                <c:pt idx="224">
                  <c:v>-14.178332647372855</c:v>
                </c:pt>
                <c:pt idx="225">
                  <c:v>-14.206298534296408</c:v>
                </c:pt>
                <c:pt idx="226">
                  <c:v>-14.233184606562562</c:v>
                </c:pt>
                <c:pt idx="227">
                  <c:v>-14.259027130991008</c:v>
                </c:pt>
                <c:pt idx="228">
                  <c:v>-14.283861683647975</c:v>
                </c:pt>
                <c:pt idx="229">
                  <c:v>-14.307723124630215</c:v>
                </c:pt>
                <c:pt idx="230">
                  <c:v>-14.330645576745392</c:v>
                </c:pt>
                <c:pt idx="231">
                  <c:v>-14.352662407890097</c:v>
                </c:pt>
                <c:pt idx="232">
                  <c:v>-14.373806216926706</c:v>
                </c:pt>
                <c:pt idx="233">
                  <c:v>-14.394108822851601</c:v>
                </c:pt>
                <c:pt idx="234">
                  <c:v>-14.41360125705212</c:v>
                </c:pt>
                <c:pt idx="235">
                  <c:v>-14.43231375844527</c:v>
                </c:pt>
                <c:pt idx="236">
                  <c:v>-14.450275771297266</c:v>
                </c:pt>
                <c:pt idx="237">
                  <c:v>-14.467515945524793</c:v>
                </c:pt>
                <c:pt idx="238">
                  <c:v>-14.484062139284067</c:v>
                </c:pt>
                <c:pt idx="239">
                  <c:v>-14.499941423659005</c:v>
                </c:pt>
                <c:pt idx="240">
                  <c:v>-14.515180089269037</c:v>
                </c:pt>
                <c:pt idx="241">
                  <c:v>-14.529803654618823</c:v>
                </c:pt>
                <c:pt idx="242">
                  <c:v>-14.543836876026418</c:v>
                </c:pt>
                <c:pt idx="243">
                  <c:v>-14.557303758969642</c:v>
                </c:pt>
                <c:pt idx="244">
                  <c:v>-14.570227570700302</c:v>
                </c:pt>
                <c:pt idx="245">
                  <c:v>-14.582630853985384</c:v>
                </c:pt>
                <c:pt idx="246">
                  <c:v>-14.594535441841295</c:v>
                </c:pt>
                <c:pt idx="247">
                  <c:v>-14.605962473136415</c:v>
                </c:pt>
                <c:pt idx="248">
                  <c:v>-14.616932408946305</c:v>
                </c:pt>
                <c:pt idx="249">
                  <c:v>-14.627465049552779</c:v>
                </c:pt>
                <c:pt idx="250">
                  <c:v>-14.637579551987681</c:v>
                </c:pt>
                <c:pt idx="251">
                  <c:v>-14.647294448028843</c:v>
                </c:pt>
                <c:pt idx="252">
                  <c:v>-14.656627662564203</c:v>
                </c:pt>
                <c:pt idx="253">
                  <c:v>-14.665596532246868</c:v>
                </c:pt>
                <c:pt idx="254">
                  <c:v>-14.674217824371222</c:v>
                </c:pt>
                <c:pt idx="255">
                  <c:v>-14.682507755906132</c:v>
                </c:pt>
                <c:pt idx="256">
                  <c:v>-14.690482012629612</c:v>
                </c:pt>
                <c:pt idx="257">
                  <c:v>-14.698155768312247</c:v>
                </c:pt>
                <c:pt idx="258">
                  <c:v>-14.705543703905018</c:v>
                </c:pt>
                <c:pt idx="259">
                  <c:v>-14.712660026692346</c:v>
                </c:pt>
                <c:pt idx="260">
                  <c:v>-14.719518489373355</c:v>
                </c:pt>
                <c:pt idx="261">
                  <c:v>-14.726132409043206</c:v>
                </c:pt>
                <c:pt idx="262">
                  <c:v>-14.732514686047772</c:v>
                </c:pt>
                <c:pt idx="263">
                  <c:v>-14.738677822689448</c:v>
                </c:pt>
                <c:pt idx="264">
                  <c:v>-14.744633941767161</c:v>
                </c:pt>
                <c:pt idx="265">
                  <c:v>-14.750394804935674</c:v>
                </c:pt>
                <c:pt idx="266">
                  <c:v>-14.755971830872522</c:v>
                </c:pt>
                <c:pt idx="267">
                  <c:v>-14.761376113245044</c:v>
                </c:pt>
                <c:pt idx="268">
                  <c:v>-14.766618438472266</c:v>
                </c:pt>
                <c:pt idx="269">
                  <c:v>-14.771709303277426</c:v>
                </c:pt>
                <c:pt idx="270">
                  <c:v>-14.776658932032118</c:v>
                </c:pt>
                <c:pt idx="271">
                  <c:v>-14.781477293892484</c:v>
                </c:pt>
                <c:pt idx="272">
                  <c:v>-14.786174119731577</c:v>
                </c:pt>
                <c:pt idx="273">
                  <c:v>-14.790758918872292</c:v>
                </c:pt>
                <c:pt idx="274">
                  <c:v>-14.795240995628467</c:v>
                </c:pt>
                <c:pt idx="275">
                  <c:v>-14.799629465661674</c:v>
                </c:pt>
                <c:pt idx="276">
                  <c:v>-14.803933272163867</c:v>
                </c:pt>
                <c:pt idx="277">
                  <c:v>-14.808161201875407</c:v>
                </c:pt>
                <c:pt idx="278">
                  <c:v>-14.812321900951602</c:v>
                </c:pt>
                <c:pt idx="279">
                  <c:v>-14.816423890688702</c:v>
                </c:pt>
                <c:pt idx="280">
                  <c:v>-14.82047558312415</c:v>
                </c:pt>
                <c:pt idx="281">
                  <c:v>-14.824485296523966</c:v>
                </c:pt>
                <c:pt idx="282">
                  <c:v>-14.828461270772515</c:v>
                </c:pt>
                <c:pt idx="283">
                  <c:v>-14.832411682679808</c:v>
                </c:pt>
                <c:pt idx="284">
                  <c:v>-14.836344661221331</c:v>
                </c:pt>
                <c:pt idx="285">
                  <c:v>-14.84026830272682</c:v>
                </c:pt>
                <c:pt idx="286">
                  <c:v>-14.844190686033832</c:v>
                </c:pt>
                <c:pt idx="287">
                  <c:v>-14.848119887622364</c:v>
                </c:pt>
                <c:pt idx="288">
                  <c:v>-14.852063996746999</c:v>
                </c:pt>
                <c:pt idx="289">
                  <c:v>-14.856031130582739</c:v>
                </c:pt>
                <c:pt idx="290">
                  <c:v>-14.860029449401077</c:v>
                </c:pt>
                <c:pt idx="291">
                  <c:v>-14.864067171792435</c:v>
                </c:pt>
                <c:pt idx="292">
                  <c:v>-14.868152589950494</c:v>
                </c:pt>
                <c:pt idx="293">
                  <c:v>-14.87229408503444</c:v>
                </c:pt>
                <c:pt idx="294">
                  <c:v>-14.876500142625106</c:v>
                </c:pt>
                <c:pt idx="295">
                  <c:v>-14.880779368287349</c:v>
                </c:pt>
                <c:pt idx="296">
                  <c:v>-14.885140503256791</c:v>
                </c:pt>
                <c:pt idx="297">
                  <c:v>-14.88959244025966</c:v>
                </c:pt>
                <c:pt idx="298">
                  <c:v>-14.894144239483783</c:v>
                </c:pt>
                <c:pt idx="299">
                  <c:v>-14.898805144707447</c:v>
                </c:pt>
                <c:pt idx="300">
                  <c:v>-14.903584599601986</c:v>
                </c:pt>
                <c:pt idx="301">
                  <c:v>-14.90849226421364</c:v>
                </c:pt>
                <c:pt idx="302">
                  <c:v>-14.913538031636108</c:v>
                </c:pt>
                <c:pt idx="303">
                  <c:v>-14.918732044880764</c:v>
                </c:pt>
                <c:pt idx="304">
                  <c:v>-14.924084713948034</c:v>
                </c:pt>
                <c:pt idx="305">
                  <c:v>-14.9296067331068</c:v>
                </c:pt>
                <c:pt idx="306">
                  <c:v>-14.935309098381977</c:v>
                </c:pt>
                <c:pt idx="307">
                  <c:v>-14.941203125251565</c:v>
                </c:pt>
                <c:pt idx="308">
                  <c:v>-14.947300466549681</c:v>
                </c:pt>
                <c:pt idx="309">
                  <c:v>-14.953613130572643</c:v>
                </c:pt>
                <c:pt idx="310">
                  <c:v>-14.960153499378597</c:v>
                </c:pt>
                <c:pt idx="311">
                  <c:v>-14.966934347273382</c:v>
                </c:pt>
                <c:pt idx="312">
                  <c:v>-14.973968859465669</c:v>
                </c:pt>
                <c:pt idx="313">
                  <c:v>-14.981270650878177</c:v>
                </c:pt>
                <c:pt idx="314">
                  <c:v>-14.988853785091344</c:v>
                </c:pt>
                <c:pt idx="315">
                  <c:v>-14.996732793397063</c:v>
                </c:pt>
                <c:pt idx="316">
                  <c:v>-15.004922693932777</c:v>
                </c:pt>
                <c:pt idx="317">
                  <c:v>-15.01343901086198</c:v>
                </c:pt>
                <c:pt idx="318">
                  <c:v>-15.022297793564443</c:v>
                </c:pt>
                <c:pt idx="319">
                  <c:v>-15.031515635790599</c:v>
                </c:pt>
                <c:pt idx="320">
                  <c:v>-15.041109694732519</c:v>
                </c:pt>
                <c:pt idx="321">
                  <c:v>-15.05109770995541</c:v>
                </c:pt>
                <c:pt idx="322">
                  <c:v>-15.061498022128649</c:v>
                </c:pt>
                <c:pt idx="323">
                  <c:v>-15.072329591488707</c:v>
                </c:pt>
                <c:pt idx="324">
                  <c:v>-15.083612015958272</c:v>
                </c:pt>
                <c:pt idx="325">
                  <c:v>-15.095365548840611</c:v>
                </c:pt>
                <c:pt idx="326">
                  <c:v>-15.10761111599874</c:v>
                </c:pt>
                <c:pt idx="327">
                  <c:v>-15.120370332422425</c:v>
                </c:pt>
                <c:pt idx="328">
                  <c:v>-15.133665518077377</c:v>
                </c:pt>
                <c:pt idx="329">
                  <c:v>-15.147519712922996</c:v>
                </c:pt>
                <c:pt idx="330">
                  <c:v>-15.161956690976972</c:v>
                </c:pt>
                <c:pt idx="331">
                  <c:v>-15.177000973295414</c:v>
                </c:pt>
                <c:pt idx="332">
                  <c:v>-15.19267783973036</c:v>
                </c:pt>
                <c:pt idx="333">
                  <c:v>-15.209013339316083</c:v>
                </c:pt>
                <c:pt idx="334">
                  <c:v>-15.226034299128557</c:v>
                </c:pt>
                <c:pt idx="335">
                  <c:v>-15.243768331454099</c:v>
                </c:pt>
                <c:pt idx="336">
                  <c:v>-15.262243839095342</c:v>
                </c:pt>
                <c:pt idx="337">
                  <c:v>-15.28149001863386</c:v>
                </c:pt>
                <c:pt idx="338">
                  <c:v>-15.301536861465252</c:v>
                </c:pt>
                <c:pt idx="339">
                  <c:v>-15.322415152412807</c:v>
                </c:pt>
                <c:pt idx="340">
                  <c:v>-15.344156465723785</c:v>
                </c:pt>
                <c:pt idx="341">
                  <c:v>-15.366793158245557</c:v>
                </c:pt>
                <c:pt idx="342">
                  <c:v>-15.390358359578951</c:v>
                </c:pt>
                <c:pt idx="343">
                  <c:v>-15.414885959002572</c:v>
                </c:pt>
                <c:pt idx="344">
                  <c:v>-15.440410588962898</c:v>
                </c:pt>
                <c:pt idx="345">
                  <c:v>-15.46696760492852</c:v>
                </c:pt>
                <c:pt idx="346">
                  <c:v>-15.494593061408672</c:v>
                </c:pt>
                <c:pt idx="347">
                  <c:v>-15.523323683945556</c:v>
                </c:pt>
                <c:pt idx="348">
                  <c:v>-15.553196836897181</c:v>
                </c:pt>
                <c:pt idx="349">
                  <c:v>-15.584250486840185</c:v>
                </c:pt>
                <c:pt idx="350">
                  <c:v>-15.616523161437545</c:v>
                </c:pt>
                <c:pt idx="351">
                  <c:v>-15.650053903631878</c:v>
                </c:pt>
                <c:pt idx="352">
                  <c:v>-15.684882221048833</c:v>
                </c:pt>
                <c:pt idx="353">
                  <c:v>-15.721048030517849</c:v>
                </c:pt>
                <c:pt idx="354">
                  <c:v>-15.758591597644745</c:v>
                </c:pt>
                <c:pt idx="355">
                  <c:v>-15.797553471404678</c:v>
                </c:pt>
                <c:pt idx="356">
                  <c:v>-15.837974413755497</c:v>
                </c:pt>
                <c:pt idx="357">
                  <c:v>-15.879895324311173</c:v>
                </c:pt>
                <c:pt idx="358">
                  <c:v>-15.923357160157057</c:v>
                </c:pt>
                <c:pt idx="359">
                  <c:v>-15.968400850929649</c:v>
                </c:pt>
                <c:pt idx="360">
                  <c:v>-16.015067209335079</c:v>
                </c:pt>
                <c:pt idx="361">
                  <c:v>-16.063396837324607</c:v>
                </c:pt>
                <c:pt idx="362">
                  <c:v>-16.113430028200526</c:v>
                </c:pt>
                <c:pt idx="363">
                  <c:v>-16.165206664975621</c:v>
                </c:pt>
                <c:pt idx="364">
                  <c:v>-16.218766115363287</c:v>
                </c:pt>
                <c:pt idx="365">
                  <c:v>-16.27414712382798</c:v>
                </c:pt>
                <c:pt idx="366">
                  <c:v>-16.331387701178201</c:v>
                </c:pt>
                <c:pt idx="367">
                  <c:v>-16.390525012234967</c:v>
                </c:pt>
                <c:pt idx="368">
                  <c:v>-16.451595262155912</c:v>
                </c:pt>
                <c:pt idx="369">
                  <c:v>-16.514633582041768</c:v>
                </c:pt>
                <c:pt idx="370">
                  <c:v>-16.579673914490879</c:v>
                </c:pt>
                <c:pt idx="371">
                  <c:v>-16.646748899804578</c:v>
                </c:pt>
                <c:pt idx="372">
                  <c:v>-16.715889763574488</c:v>
                </c:pt>
                <c:pt idx="373">
                  <c:v>-16.787126206406146</c:v>
                </c:pt>
                <c:pt idx="374">
                  <c:v>-16.860486296548849</c:v>
                </c:pt>
                <c:pt idx="375">
                  <c:v>-16.935996366207405</c:v>
                </c:pt>
                <c:pt idx="376">
                  <c:v>-17.013680912310701</c:v>
                </c:pt>
                <c:pt idx="377">
                  <c:v>-17.093562502499914</c:v>
                </c:pt>
                <c:pt idx="378">
                  <c:v>-17.175661687078765</c:v>
                </c:pt>
                <c:pt idx="379">
                  <c:v>-17.259996917638485</c:v>
                </c:pt>
                <c:pt idx="380">
                  <c:v>-17.346584473029235</c:v>
                </c:pt>
                <c:pt idx="381">
                  <c:v>-17.435438393301396</c:v>
                </c:pt>
                <c:pt idx="382">
                  <c:v>-17.526570422182523</c:v>
                </c:pt>
                <c:pt idx="383">
                  <c:v>-17.619989958588896</c:v>
                </c:pt>
                <c:pt idx="384">
                  <c:v>-17.715704017597769</c:v>
                </c:pt>
                <c:pt idx="385">
                  <c:v>-17.813717201227202</c:v>
                </c:pt>
                <c:pt idx="386">
                  <c:v>-17.914031679284086</c:v>
                </c:pt>
                <c:pt idx="387">
                  <c:v>-18.01664718045383</c:v>
                </c:pt>
                <c:pt idx="388">
                  <c:v>-18.121560993712293</c:v>
                </c:pt>
                <c:pt idx="389">
                  <c:v>-18.228767980048111</c:v>
                </c:pt>
                <c:pt idx="390">
                  <c:v>-18.338260594391254</c:v>
                </c:pt>
                <c:pt idx="391">
                  <c:v>-18.450028917553013</c:v>
                </c:pt>
                <c:pt idx="392">
                  <c:v>-18.564060697893531</c:v>
                </c:pt>
                <c:pt idx="393">
                  <c:v>-18.680341402349264</c:v>
                </c:pt>
                <c:pt idx="394">
                  <c:v>-18.798854276377973</c:v>
                </c:pt>
                <c:pt idx="395">
                  <c:v>-18.919580412299997</c:v>
                </c:pt>
                <c:pt idx="396">
                  <c:v>-19.042498825461152</c:v>
                </c:pt>
                <c:pt idx="397">
                  <c:v>-19.167586537574067</c:v>
                </c:pt>
                <c:pt idx="398">
                  <c:v>-19.294818666561547</c:v>
                </c:pt>
                <c:pt idx="399">
                  <c:v>-19.424168522176707</c:v>
                </c:pt>
                <c:pt idx="400">
                  <c:v>-19.555607706654492</c:v>
                </c:pt>
                <c:pt idx="401">
                  <c:v>-19.689106219625824</c:v>
                </c:pt>
                <c:pt idx="402">
                  <c:v>-19.824632566521057</c:v>
                </c:pt>
                <c:pt idx="403">
                  <c:v>-19.962153869687654</c:v>
                </c:pt>
                <c:pt idx="404">
                  <c:v>-20.101635981454031</c:v>
                </c:pt>
                <c:pt idx="405">
                  <c:v>-20.243043598393555</c:v>
                </c:pt>
                <c:pt idx="406">
                  <c:v>-20.38634037606289</c:v>
                </c:pt>
                <c:pt idx="407">
                  <c:v>-20.531489043522644</c:v>
                </c:pt>
                <c:pt idx="408">
                  <c:v>-20.678451516982864</c:v>
                </c:pt>
                <c:pt idx="409">
                  <c:v>-20.827189011961327</c:v>
                </c:pt>
                <c:pt idx="410">
                  <c:v>-20.97766215338488</c:v>
                </c:pt>
                <c:pt idx="411">
                  <c:v>-21.129831083114002</c:v>
                </c:pt>
                <c:pt idx="412">
                  <c:v>-21.283655564424752</c:v>
                </c:pt>
                <c:pt idx="413">
                  <c:v>-21.439095083029809</c:v>
                </c:pt>
                <c:pt idx="414">
                  <c:v>-21.596108944277084</c:v>
                </c:pt>
                <c:pt idx="415">
                  <c:v>-21.754656366216899</c:v>
                </c:pt>
                <c:pt idx="416">
                  <c:v>-21.914696568278185</c:v>
                </c:pt>
                <c:pt idx="417">
                  <c:v>-22.07618885534788</c:v>
                </c:pt>
                <c:pt idx="418">
                  <c:v>-22.239092697094456</c:v>
                </c:pt>
                <c:pt idx="419">
                  <c:v>-22.40336780242297</c:v>
                </c:pt>
                <c:pt idx="420">
                  <c:v>-22.568974188992662</c:v>
                </c:pt>
                <c:pt idx="421">
                  <c:v>-22.735872247768839</c:v>
                </c:pt>
                <c:pt idx="422">
                  <c:v>-22.904022802617703</c:v>
                </c:pt>
                <c:pt idx="423">
                  <c:v>-23.073387164985689</c:v>
                </c:pt>
                <c:pt idx="424">
                  <c:v>-23.243927183737849</c:v>
                </c:pt>
                <c:pt idx="425">
                  <c:v>-23.415605290253815</c:v>
                </c:pt>
                <c:pt idx="426">
                  <c:v>-23.588384538905601</c:v>
                </c:pt>
                <c:pt idx="427">
                  <c:v>-23.762228643061135</c:v>
                </c:pt>
                <c:pt idx="428">
                  <c:v>-23.937102006774232</c:v>
                </c:pt>
                <c:pt idx="429">
                  <c:v>-24.112969752336241</c:v>
                </c:pt>
                <c:pt idx="430">
                  <c:v>-24.289797743876008</c:v>
                </c:pt>
                <c:pt idx="431">
                  <c:v>-24.46755260720284</c:v>
                </c:pt>
                <c:pt idx="432">
                  <c:v>-24.646201746093091</c:v>
                </c:pt>
                <c:pt idx="433">
                  <c:v>-24.825713355226643</c:v>
                </c:pt>
                <c:pt idx="434">
                  <c:v>-25.006056429978003</c:v>
                </c:pt>
                <c:pt idx="435">
                  <c:v>-25.187200773270803</c:v>
                </c:pt>
                <c:pt idx="436">
                  <c:v>-25.369116999698807</c:v>
                </c:pt>
                <c:pt idx="437">
                  <c:v>-25.551776537117689</c:v>
                </c:pt>
                <c:pt idx="438">
                  <c:v>-25.735151625903001</c:v>
                </c:pt>
                <c:pt idx="439">
                  <c:v>-25.919215316068481</c:v>
                </c:pt>
                <c:pt idx="440">
                  <c:v>-26.103941462430697</c:v>
                </c:pt>
                <c:pt idx="441">
                  <c:v>-26.289304717999208</c:v>
                </c:pt>
                <c:pt idx="442">
                  <c:v>-26.475280525764337</c:v>
                </c:pt>
                <c:pt idx="443">
                  <c:v>-26.661845109047164</c:v>
                </c:pt>
                <c:pt idx="444">
                  <c:v>-26.848975460567321</c:v>
                </c:pt>
                <c:pt idx="445">
                  <c:v>-27.036649330376918</c:v>
                </c:pt>
                <c:pt idx="446">
                  <c:v>-27.224845212799092</c:v>
                </c:pt>
                <c:pt idx="447">
                  <c:v>-27.413542332503255</c:v>
                </c:pt>
                <c:pt idx="448">
                  <c:v>-27.602720629838188</c:v>
                </c:pt>
                <c:pt idx="449">
                  <c:v>-27.792360745538474</c:v>
                </c:pt>
                <c:pt idx="450">
                  <c:v>-27.982444004909468</c:v>
                </c:pt>
                <c:pt idx="451">
                  <c:v>-28.172952401589484</c:v>
                </c:pt>
                <c:pt idx="452">
                  <c:v>-28.363868580980149</c:v>
                </c:pt>
                <c:pt idx="453">
                  <c:v>-28.555175823427732</c:v>
                </c:pt>
                <c:pt idx="454">
                  <c:v>-28.746858027232118</c:v>
                </c:pt>
                <c:pt idx="455">
                  <c:v>-28.938899691553189</c:v>
                </c:pt>
                <c:pt idx="456">
                  <c:v>-29.131285899277618</c:v>
                </c:pt>
                <c:pt idx="457">
                  <c:v>-29.324002299903043</c:v>
                </c:pt>
                <c:pt idx="458">
                  <c:v>-29.517035092492179</c:v>
                </c:pt>
                <c:pt idx="459">
                  <c:v>-29.710371008742172</c:v>
                </c:pt>
                <c:pt idx="460">
                  <c:v>-29.903997296210548</c:v>
                </c:pt>
                <c:pt idx="461">
                  <c:v>-30.097901701734546</c:v>
                </c:pt>
                <c:pt idx="462">
                  <c:v>-30.29207245507612</c:v>
                </c:pt>
                <c:pt idx="463">
                  <c:v>-30.486498252820027</c:v>
                </c:pt>
                <c:pt idx="464">
                  <c:v>-30.681168242550193</c:v>
                </c:pt>
                <c:pt idx="465">
                  <c:v>-30.876072007324762</c:v>
                </c:pt>
                <c:pt idx="466">
                  <c:v>-31.071199550467679</c:v>
                </c:pt>
                <c:pt idx="467">
                  <c:v>-31.266541280691587</c:v>
                </c:pt>
                <c:pt idx="468">
                  <c:v>-31.462087997564399</c:v>
                </c:pt>
                <c:pt idx="469">
                  <c:v>-31.657830877328507</c:v>
                </c:pt>
                <c:pt idx="470">
                  <c:v>-31.853761459081269</c:v>
                </c:pt>
                <c:pt idx="471">
                  <c:v>-32.049871631320748</c:v>
                </c:pt>
                <c:pt idx="472">
                  <c:v>-32.24615361886211</c:v>
                </c:pt>
                <c:pt idx="473">
                  <c:v>-32.442599970124256</c:v>
                </c:pt>
                <c:pt idx="474">
                  <c:v>-32.639203544790334</c:v>
                </c:pt>
                <c:pt idx="475">
                  <c:v>-32.835957501837754</c:v>
                </c:pt>
                <c:pt idx="476">
                  <c:v>-33.032855287939647</c:v>
                </c:pt>
                <c:pt idx="477">
                  <c:v>-33.229890626230471</c:v>
                </c:pt>
                <c:pt idx="478">
                  <c:v>-33.427057505436174</c:v>
                </c:pt>
                <c:pt idx="479">
                  <c:v>-33.624350169360824</c:v>
                </c:pt>
                <c:pt idx="480">
                  <c:v>-33.821763106726081</c:v>
                </c:pt>
                <c:pt idx="481">
                  <c:v>-34.019291041357164</c:v>
                </c:pt>
                <c:pt idx="482">
                  <c:v>-34.21692892270859</c:v>
                </c:pt>
                <c:pt idx="483">
                  <c:v>-34.414671916722916</c:v>
                </c:pt>
                <c:pt idx="484">
                  <c:v>-34.612515397015599</c:v>
                </c:pt>
                <c:pt idx="485">
                  <c:v>-34.810454936377219</c:v>
                </c:pt>
                <c:pt idx="486">
                  <c:v>-35.008486298586753</c:v>
                </c:pt>
                <c:pt idx="487">
                  <c:v>-35.206605430527333</c:v>
                </c:pt>
                <c:pt idx="488">
                  <c:v>-35.404808454595745</c:v>
                </c:pt>
                <c:pt idx="489">
                  <c:v>-35.60309166139848</c:v>
                </c:pt>
                <c:pt idx="490">
                  <c:v>-35.801451502725534</c:v>
                </c:pt>
                <c:pt idx="491">
                  <c:v>-35.999884584794003</c:v>
                </c:pt>
                <c:pt idx="492">
                  <c:v>-36.198387661753614</c:v>
                </c:pt>
                <c:pt idx="493">
                  <c:v>-36.396957629443747</c:v>
                </c:pt>
                <c:pt idx="494">
                  <c:v>-36.595591519398454</c:v>
                </c:pt>
                <c:pt idx="495">
                  <c:v>-36.794286493085941</c:v>
                </c:pt>
                <c:pt idx="496">
                  <c:v>-36.993039836379737</c:v>
                </c:pt>
                <c:pt idx="497">
                  <c:v>-37.191848954248755</c:v>
                </c:pt>
                <c:pt idx="498">
                  <c:v>-37.390711365664302</c:v>
                </c:pt>
                <c:pt idx="499">
                  <c:v>-37.589624698710161</c:v>
                </c:pt>
                <c:pt idx="500">
                  <c:v>-37.788586685895311</c:v>
                </c:pt>
                <c:pt idx="501">
                  <c:v>-37.98759515965461</c:v>
                </c:pt>
                <c:pt idx="502">
                  <c:v>-38.18664804803818</c:v>
                </c:pt>
                <c:pt idx="503">
                  <c:v>-38.385743370575909</c:v>
                </c:pt>
                <c:pt idx="504">
                  <c:v>-38.584879234315281</c:v>
                </c:pt>
                <c:pt idx="505">
                  <c:v>-38.78405383002297</c:v>
                </c:pt>
                <c:pt idx="506">
                  <c:v>-38.983265428545941</c:v>
                </c:pt>
                <c:pt idx="507">
                  <c:v>-39.182512377324784</c:v>
                </c:pt>
                <c:pt idx="508">
                  <c:v>-39.38179309705405</c:v>
                </c:pt>
                <c:pt idx="509">
                  <c:v>-39.581106078482584</c:v>
                </c:pt>
                <c:pt idx="510">
                  <c:v>-39.780449879351231</c:v>
                </c:pt>
                <c:pt idx="511">
                  <c:v>-39.979823121458587</c:v>
                </c:pt>
                <c:pt idx="512">
                  <c:v>-40.179224487852913</c:v>
                </c:pt>
                <c:pt idx="513">
                  <c:v>-40.378652720143471</c:v>
                </c:pt>
                <c:pt idx="514">
                  <c:v>-40.578106615927261</c:v>
                </c:pt>
                <c:pt idx="515">
                  <c:v>-40.777585026325632</c:v>
                </c:pt>
                <c:pt idx="516">
                  <c:v>-40.977086853627398</c:v>
                </c:pt>
                <c:pt idx="517">
                  <c:v>-41.176611049032878</c:v>
                </c:pt>
                <c:pt idx="518">
                  <c:v>-41.37615661049626</c:v>
                </c:pt>
                <c:pt idx="519">
                  <c:v>-41.575722580660099</c:v>
                </c:pt>
                <c:pt idx="520">
                  <c:v>-41.775308044880568</c:v>
                </c:pt>
                <c:pt idx="521">
                  <c:v>-41.974912129337348</c:v>
                </c:pt>
                <c:pt idx="522">
                  <c:v>-42.174533999226611</c:v>
                </c:pt>
                <c:pt idx="523">
                  <c:v>-42.374172857032022</c:v>
                </c:pt>
                <c:pt idx="524">
                  <c:v>-42.573827940871787</c:v>
                </c:pt>
                <c:pt idx="525">
                  <c:v>-42.773498522917386</c:v>
                </c:pt>
                <c:pt idx="526">
                  <c:v>-42.973183907881705</c:v>
                </c:pt>
                <c:pt idx="527">
                  <c:v>-43.172883431573567</c:v>
                </c:pt>
                <c:pt idx="528">
                  <c:v>-43.372596459515201</c:v>
                </c:pt>
                <c:pt idx="529">
                  <c:v>-43.572322385620936</c:v>
                </c:pt>
                <c:pt idx="530">
                  <c:v>-43.772060630933716</c:v>
                </c:pt>
                <c:pt idx="531">
                  <c:v>-43.971810642417168</c:v>
                </c:pt>
                <c:pt idx="532">
                  <c:v>-44.171571891800838</c:v>
                </c:pt>
                <c:pt idx="533">
                  <c:v>-44.371343874476992</c:v>
                </c:pt>
                <c:pt idx="534">
                  <c:v>-44.571126108444943</c:v>
                </c:pt>
                <c:pt idx="535">
                  <c:v>-44.770918133303212</c:v>
                </c:pt>
                <c:pt idx="536">
                  <c:v>-44.97071950928521</c:v>
                </c:pt>
                <c:pt idx="537">
                  <c:v>-45.170529816338671</c:v>
                </c:pt>
                <c:pt idx="538">
                  <c:v>-45.370348653244712</c:v>
                </c:pt>
                <c:pt idx="539">
                  <c:v>-45.570175636776881</c:v>
                </c:pt>
                <c:pt idx="540">
                  <c:v>-45.770010400897007</c:v>
                </c:pt>
                <c:pt idx="541">
                  <c:v>-45.96985259598668</c:v>
                </c:pt>
              </c:numCache>
            </c:numRef>
          </c:yVal>
          <c:smooth val="1"/>
          <c:extLst>
            <c:ext xmlns:c16="http://schemas.microsoft.com/office/drawing/2014/chart" uri="{C3380CC4-5D6E-409C-BE32-E72D297353CC}">
              <c16:uniqueId val="{00000000-C95D-4273-8D1D-E8C586949522}"/>
            </c:ext>
          </c:extLst>
        </c:ser>
        <c:dLbls>
          <c:showLegendKey val="0"/>
          <c:showVal val="0"/>
          <c:showCatName val="0"/>
          <c:showSerName val="0"/>
          <c:showPercent val="0"/>
          <c:showBubbleSize val="0"/>
        </c:dLbls>
        <c:axId val="160531200"/>
        <c:axId val="160533120"/>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Loop_Modeling!$AR$19:$AR$560</c:f>
              <c:numCache>
                <c:formatCode>General</c:formatCode>
                <c:ptCount val="542"/>
                <c:pt idx="0">
                  <c:v>90.802369766650401</c:v>
                </c:pt>
                <c:pt idx="1">
                  <c:v>90.821056753362072</c:v>
                </c:pt>
                <c:pt idx="2">
                  <c:v>90.840178829559079</c:v>
                </c:pt>
                <c:pt idx="3">
                  <c:v>90.859746116453593</c:v>
                </c:pt>
                <c:pt idx="4">
                  <c:v>90.879768970058706</c:v>
                </c:pt>
                <c:pt idx="5">
                  <c:v>90.900257986589565</c:v>
                </c:pt>
                <c:pt idx="6">
                  <c:v>90.921224007985472</c:v>
                </c:pt>
                <c:pt idx="7">
                  <c:v>90.942678127555396</c:v>
                </c:pt>
                <c:pt idx="8">
                  <c:v>90.964631695749418</c:v>
                </c:pt>
                <c:pt idx="9">
                  <c:v>90.987096326058676</c:v>
                </c:pt>
                <c:pt idx="10">
                  <c:v>91.010083901046272</c:v>
                </c:pt>
                <c:pt idx="11">
                  <c:v>91.033606578511751</c:v>
                </c:pt>
                <c:pt idx="12">
                  <c:v>91.057676797792041</c:v>
                </c:pt>
                <c:pt idx="13">
                  <c:v>91.082307286201015</c:v>
                </c:pt>
                <c:pt idx="14">
                  <c:v>91.10751106561078</c:v>
                </c:pt>
                <c:pt idx="15">
                  <c:v>91.133301459177204</c:v>
                </c:pt>
                <c:pt idx="16">
                  <c:v>91.159692098212375</c:v>
                </c:pt>
                <c:pt idx="17">
                  <c:v>91.18669692920686</c:v>
                </c:pt>
                <c:pt idx="18">
                  <c:v>91.214330221004317</c:v>
                </c:pt>
                <c:pt idx="19">
                  <c:v>91.242606572131422</c:v>
                </c:pt>
                <c:pt idx="20">
                  <c:v>91.27154091828578</c:v>
                </c:pt>
                <c:pt idx="21">
                  <c:v>91.301148539984524</c:v>
                </c:pt>
                <c:pt idx="22">
                  <c:v>91.331445070376546</c:v>
                </c:pt>
                <c:pt idx="23">
                  <c:v>91.362446503220966</c:v>
                </c:pt>
                <c:pt idx="24">
                  <c:v>91.3941692010347</c:v>
                </c:pt>
                <c:pt idx="25">
                  <c:v>91.426629903411907</c:v>
                </c:pt>
                <c:pt idx="26">
                  <c:v>91.459845735517803</c:v>
                </c:pt>
                <c:pt idx="27">
                  <c:v>91.493834216759879</c:v>
                </c:pt>
                <c:pt idx="28">
                  <c:v>91.528613269638939</c:v>
                </c:pt>
                <c:pt idx="29">
                  <c:v>91.56420122878265</c:v>
                </c:pt>
                <c:pt idx="30">
                  <c:v>91.600616850164286</c:v>
                </c:pt>
                <c:pt idx="31">
                  <c:v>91.637879320508887</c:v>
                </c:pt>
                <c:pt idx="32">
                  <c:v>91.676008266889681</c:v>
                </c:pt>
                <c:pt idx="33">
                  <c:v>91.715023766516836</c:v>
                </c:pt>
                <c:pt idx="34">
                  <c:v>91.754946356720822</c:v>
                </c:pt>
                <c:pt idx="35">
                  <c:v>91.795797045132801</c:v>
                </c:pt>
                <c:pt idx="36">
                  <c:v>91.837597320063921</c:v>
                </c:pt>
                <c:pt idx="37">
                  <c:v>91.880369161085298</c:v>
                </c:pt>
                <c:pt idx="38">
                  <c:v>91.9241350498109</c:v>
                </c:pt>
                <c:pt idx="39">
                  <c:v>91.96891798088447</c:v>
                </c:pt>
                <c:pt idx="40">
                  <c:v>92.014741473172336</c:v>
                </c:pt>
                <c:pt idx="41">
                  <c:v>92.061629581163004</c:v>
                </c:pt>
                <c:pt idx="42">
                  <c:v>92.109606906574911</c:v>
                </c:pt>
                <c:pt idx="43">
                  <c:v>92.158698610172777</c:v>
                </c:pt>
                <c:pt idx="44">
                  <c:v>92.208930423793277</c:v>
                </c:pt>
                <c:pt idx="45">
                  <c:v>92.260328662580307</c:v>
                </c:pt>
                <c:pt idx="46">
                  <c:v>92.31292023742958</c:v>
                </c:pt>
                <c:pt idx="47">
                  <c:v>92.366732667642069</c:v>
                </c:pt>
                <c:pt idx="48">
                  <c:v>92.421794093785891</c:v>
                </c:pt>
                <c:pt idx="49">
                  <c:v>92.47813329076476</c:v>
                </c:pt>
                <c:pt idx="50">
                  <c:v>92.535779681091924</c:v>
                </c:pt>
                <c:pt idx="51">
                  <c:v>92.59476334836701</c:v>
                </c:pt>
                <c:pt idx="52">
                  <c:v>92.655115050953171</c:v>
                </c:pt>
                <c:pt idx="53">
                  <c:v>92.71686623585137</c:v>
                </c:pt>
                <c:pt idx="54">
                  <c:v>92.780049052767808</c:v>
                </c:pt>
                <c:pt idx="55">
                  <c:v>92.844696368369753</c:v>
                </c:pt>
                <c:pt idx="56">
                  <c:v>92.910841780724695</c:v>
                </c:pt>
                <c:pt idx="57">
                  <c:v>92.978519633916619</c:v>
                </c:pt>
                <c:pt idx="58">
                  <c:v>93.04776503283253</c:v>
                </c:pt>
                <c:pt idx="59">
                  <c:v>93.118613858110919</c:v>
                </c:pt>
                <c:pt idx="60">
                  <c:v>93.191102781244155</c:v>
                </c:pt>
                <c:pt idx="61">
                  <c:v>93.265269279823869</c:v>
                </c:pt>
                <c:pt idx="62">
                  <c:v>93.341151652919024</c:v>
                </c:pt>
                <c:pt idx="63">
                  <c:v>93.418789036573983</c:v>
                </c:pt>
                <c:pt idx="64">
                  <c:v>93.49822141941317</c:v>
                </c:pt>
                <c:pt idx="65">
                  <c:v>93.579489658336755</c:v>
                </c:pt>
                <c:pt idx="66">
                  <c:v>93.662635494291635</c:v>
                </c:pt>
                <c:pt idx="67">
                  <c:v>93.747701568098634</c:v>
                </c:pt>
                <c:pt idx="68">
                  <c:v>93.834731436316559</c:v>
                </c:pt>
                <c:pt idx="69">
                  <c:v>93.923769587121001</c:v>
                </c:pt>
                <c:pt idx="70">
                  <c:v>94.014861456173861</c:v>
                </c:pt>
                <c:pt idx="71">
                  <c:v>94.108053442458157</c:v>
                </c:pt>
                <c:pt idx="72">
                  <c:v>94.203392924049254</c:v>
                </c:pt>
                <c:pt idx="73">
                  <c:v>94.300928273792209</c:v>
                </c:pt>
                <c:pt idx="74">
                  <c:v>94.40070887485129</c:v>
                </c:pt>
                <c:pt idx="75">
                  <c:v>94.502785136096506</c:v>
                </c:pt>
                <c:pt idx="76">
                  <c:v>94.607208507286941</c:v>
                </c:pt>
                <c:pt idx="77">
                  <c:v>94.714031494009589</c:v>
                </c:pt>
                <c:pt idx="78">
                  <c:v>94.823307672327275</c:v>
                </c:pt>
                <c:pt idx="79">
                  <c:v>94.935091703087039</c:v>
                </c:pt>
                <c:pt idx="80">
                  <c:v>95.049439345835822</c:v>
                </c:pt>
                <c:pt idx="81">
                  <c:v>95.166407472286124</c:v>
                </c:pt>
                <c:pt idx="82">
                  <c:v>95.286054079270656</c:v>
                </c:pt>
                <c:pt idx="83">
                  <c:v>95.408438301120214</c:v>
                </c:pt>
                <c:pt idx="84">
                  <c:v>95.533620421393721</c:v>
                </c:pt>
                <c:pt idx="85">
                  <c:v>95.661661883884932</c:v>
                </c:pt>
                <c:pt idx="86">
                  <c:v>95.792625302824987</c:v>
                </c:pt>
                <c:pt idx="87">
                  <c:v>95.92657447219355</c:v>
                </c:pt>
                <c:pt idx="88">
                  <c:v>96.06357437404607</c:v>
                </c:pt>
                <c:pt idx="89">
                  <c:v>96.203691185758416</c:v>
                </c:pt>
                <c:pt idx="90">
                  <c:v>96.346992286082198</c:v>
                </c:pt>
                <c:pt idx="91">
                  <c:v>96.493546259900199</c:v>
                </c:pt>
                <c:pt idx="92">
                  <c:v>96.643422901559404</c:v>
                </c:pt>
                <c:pt idx="93">
                  <c:v>96.796693216656692</c:v>
                </c:pt>
                <c:pt idx="94">
                  <c:v>96.953429422139479</c:v>
                </c:pt>
                <c:pt idx="95">
                  <c:v>97.113704944579226</c:v>
                </c:pt>
                <c:pt idx="96">
                  <c:v>97.277594416464083</c:v>
                </c:pt>
                <c:pt idx="97">
                  <c:v>97.445173670349192</c:v>
                </c:pt>
                <c:pt idx="98">
                  <c:v>97.616519730694876</c:v>
                </c:pt>
                <c:pt idx="99">
                  <c:v>97.791710803209838</c:v>
                </c:pt>
                <c:pt idx="100">
                  <c:v>97.970826261510581</c:v>
                </c:pt>
                <c:pt idx="101">
                  <c:v>98.153946630894637</c:v>
                </c:pt>
                <c:pt idx="102">
                  <c:v>98.341153569016967</c:v>
                </c:pt>
                <c:pt idx="103">
                  <c:v>98.532529843244944</c:v>
                </c:pt>
                <c:pt idx="104">
                  <c:v>98.728159304460888</c:v>
                </c:pt>
                <c:pt idx="105">
                  <c:v>98.928126857064129</c:v>
                </c:pt>
                <c:pt idx="106">
                  <c:v>99.132518424918615</c:v>
                </c:pt>
                <c:pt idx="107">
                  <c:v>99.341420912975877</c:v>
                </c:pt>
                <c:pt idx="108">
                  <c:v>99.554922164296002</c:v>
                </c:pt>
                <c:pt idx="109">
                  <c:v>99.773110912173465</c:v>
                </c:pt>
                <c:pt idx="110">
                  <c:v>99.996076727067347</c:v>
                </c:pt>
                <c:pt idx="111">
                  <c:v>100.22390995802216</c:v>
                </c:pt>
                <c:pt idx="112">
                  <c:v>100.45670166825433</c:v>
                </c:pt>
                <c:pt idx="113">
                  <c:v>100.69454356457291</c:v>
                </c:pt>
                <c:pt idx="114">
                  <c:v>100.93752792028845</c:v>
                </c:pt>
                <c:pt idx="115">
                  <c:v>101.18574749125952</c:v>
                </c:pt>
                <c:pt idx="116">
                  <c:v>101.43929542471702</c:v>
                </c:pt>
                <c:pt idx="117">
                  <c:v>101.69826516049987</c:v>
                </c:pt>
                <c:pt idx="118">
                  <c:v>101.96275032433115</c:v>
                </c:pt>
                <c:pt idx="119">
                  <c:v>102.23284461276033</c:v>
                </c:pt>
                <c:pt idx="120">
                  <c:v>102.50864166939513</c:v>
                </c:pt>
                <c:pt idx="121">
                  <c:v>102.79023495204925</c:v>
                </c:pt>
                <c:pt idx="122">
                  <c:v>103.07771759043189</c:v>
                </c:pt>
                <c:pt idx="123">
                  <c:v>103.37118223401625</c:v>
                </c:pt>
                <c:pt idx="124">
                  <c:v>103.67072088972674</c:v>
                </c:pt>
                <c:pt idx="125">
                  <c:v>103.97642474910553</c:v>
                </c:pt>
                <c:pt idx="126">
                  <c:v>104.28838400462814</c:v>
                </c:pt>
                <c:pt idx="127">
                  <c:v>104.60668765486365</c:v>
                </c:pt>
                <c:pt idx="128">
                  <c:v>104.93142329819894</c:v>
                </c:pt>
                <c:pt idx="129">
                  <c:v>105.26267691487959</c:v>
                </c:pt>
                <c:pt idx="130">
                  <c:v>105.60053263715227</c:v>
                </c:pt>
                <c:pt idx="131">
                  <c:v>105.94507250734137</c:v>
                </c:pt>
                <c:pt idx="132">
                  <c:v>106.29637622373717</c:v>
                </c:pt>
                <c:pt idx="133">
                  <c:v>106.65452087423328</c:v>
                </c:pt>
                <c:pt idx="134">
                  <c:v>107.01958065770923</c:v>
                </c:pt>
                <c:pt idx="135">
                  <c:v>107.39162659322953</c:v>
                </c:pt>
                <c:pt idx="136">
                  <c:v>107.77072621720849</c:v>
                </c:pt>
                <c:pt idx="137">
                  <c:v>108.15694326877389</c:v>
                </c:pt>
                <c:pt idx="138">
                  <c:v>108.55033736366227</c:v>
                </c:pt>
                <c:pt idx="139">
                  <c:v>108.95096365708363</c:v>
                </c:pt>
                <c:pt idx="140">
                  <c:v>109.35887249609914</c:v>
                </c:pt>
                <c:pt idx="141">
                  <c:v>109.77410906218697</c:v>
                </c:pt>
                <c:pt idx="142">
                  <c:v>110.19671300479226</c:v>
                </c:pt>
                <c:pt idx="143">
                  <c:v>110.62671806680035</c:v>
                </c:pt>
                <c:pt idx="144">
                  <c:v>111.06415170301578</c:v>
                </c:pt>
                <c:pt idx="145">
                  <c:v>111.50903469288187</c:v>
                </c:pt>
                <c:pt idx="146">
                  <c:v>111.96138074883321</c:v>
                </c:pt>
                <c:pt idx="147">
                  <c:v>112.42119612183537</c:v>
                </c:pt>
                <c:pt idx="148">
                  <c:v>112.88847920583551</c:v>
                </c:pt>
                <c:pt idx="149">
                  <c:v>113.36322014300977</c:v>
                </c:pt>
                <c:pt idx="150">
                  <c:v>113.84540043186762</c:v>
                </c:pt>
                <c:pt idx="151">
                  <c:v>114.33499254043265</c:v>
                </c:pt>
                <c:pt idx="152">
                  <c:v>114.83195952688597</c:v>
                </c:pt>
                <c:pt idx="153">
                  <c:v>115.33625467021203</c:v>
                </c:pt>
                <c:pt idx="154">
                  <c:v>115.84782111352659</c:v>
                </c:pt>
                <c:pt idx="155">
                  <c:v>116.36659152290672</c:v>
                </c:pt>
                <c:pt idx="156">
                  <c:v>116.89248776465232</c:v>
                </c:pt>
                <c:pt idx="157">
                  <c:v>117.42542060401075</c:v>
                </c:pt>
                <c:pt idx="158">
                  <c:v>117.96528942846892</c:v>
                </c:pt>
                <c:pt idx="159">
                  <c:v>118.51198199876498</c:v>
                </c:pt>
                <c:pt idx="160">
                  <c:v>119.06537423080039</c:v>
                </c:pt>
                <c:pt idx="161">
                  <c:v>119.62533001160831</c:v>
                </c:pt>
                <c:pt idx="162">
                  <c:v>120.19170105250301</c:v>
                </c:pt>
                <c:pt idx="163">
                  <c:v>120.76432678243704</c:v>
                </c:pt>
                <c:pt idx="164">
                  <c:v>121.3430342844796</c:v>
                </c:pt>
                <c:pt idx="165">
                  <c:v>121.92763827815638</c:v>
                </c:pt>
                <c:pt idx="166">
                  <c:v>122.51794115018649</c:v>
                </c:pt>
                <c:pt idx="167">
                  <c:v>123.11373303590142</c:v>
                </c:pt>
                <c:pt idx="168">
                  <c:v>123.71479195332851</c:v>
                </c:pt>
                <c:pt idx="169">
                  <c:v>124.32088399159451</c:v>
                </c:pt>
                <c:pt idx="170">
                  <c:v>124.93176355491759</c:v>
                </c:pt>
                <c:pt idx="171">
                  <c:v>125.54717366304766</c:v>
                </c:pt>
                <c:pt idx="172">
                  <c:v>126.16684630856219</c:v>
                </c:pt>
                <c:pt idx="173">
                  <c:v>126.79050287094582</c:v>
                </c:pt>
                <c:pt idx="174">
                  <c:v>127.41785458688341</c:v>
                </c:pt>
                <c:pt idx="175">
                  <c:v>128.04860307567358</c:v>
                </c:pt>
                <c:pt idx="176">
                  <c:v>128.6824409181373</c:v>
                </c:pt>
                <c:pt idx="177">
                  <c:v>129.31905228686799</c:v>
                </c:pt>
                <c:pt idx="178">
                  <c:v>129.95811362513598</c:v>
                </c:pt>
                <c:pt idx="179">
                  <c:v>130.59929437124561</c:v>
                </c:pt>
                <c:pt idx="180">
                  <c:v>131.24225772465223</c:v>
                </c:pt>
                <c:pt idx="181">
                  <c:v>131.88666144967755</c:v>
                </c:pt>
                <c:pt idx="182">
                  <c:v>132.53215871224214</c:v>
                </c:pt>
                <c:pt idx="183">
                  <c:v>133.17839894464748</c:v>
                </c:pt>
                <c:pt idx="184">
                  <c:v>133.82502873311637</c:v>
                </c:pt>
                <c:pt idx="185">
                  <c:v>134.47169272253217</c:v>
                </c:pt>
                <c:pt idx="186">
                  <c:v>135.11803453260703</c:v>
                </c:pt>
                <c:pt idx="187">
                  <c:v>135.76369767958226</c:v>
                </c:pt>
                <c:pt idx="188">
                  <c:v>136.40832649748094</c:v>
                </c:pt>
                <c:pt idx="189">
                  <c:v>137.05156705295465</c:v>
                </c:pt>
                <c:pt idx="190">
                  <c:v>137.6930680478284</c:v>
                </c:pt>
                <c:pt idx="191">
                  <c:v>138.33248170360034</c:v>
                </c:pt>
                <c:pt idx="192">
                  <c:v>138.96946462236397</c:v>
                </c:pt>
                <c:pt idx="193">
                  <c:v>139.60367861889833</c:v>
                </c:pt>
                <c:pt idx="194">
                  <c:v>140.23479151900042</c:v>
                </c:pt>
                <c:pt idx="195">
                  <c:v>140.86247791952749</c:v>
                </c:pt>
                <c:pt idx="196">
                  <c:v>141.48641990604446</c:v>
                </c:pt>
                <c:pt idx="197">
                  <c:v>142.10630772443417</c:v>
                </c:pt>
                <c:pt idx="198">
                  <c:v>142.72184040333599</c:v>
                </c:pt>
                <c:pt idx="199">
                  <c:v>143.33272632478489</c:v>
                </c:pt>
                <c:pt idx="200">
                  <c:v>143.93868374096152</c:v>
                </c:pt>
                <c:pt idx="201">
                  <c:v>144.53944123548925</c:v>
                </c:pt>
                <c:pt idx="202">
                  <c:v>145.13473812825404</c:v>
                </c:pt>
                <c:pt idx="203">
                  <c:v>145.72432482322768</c:v>
                </c:pt>
                <c:pt idx="204">
                  <c:v>146.30796309928817</c:v>
                </c:pt>
                <c:pt idx="205">
                  <c:v>146.88542634449803</c:v>
                </c:pt>
                <c:pt idx="206">
                  <c:v>147.45649973474747</c:v>
                </c:pt>
                <c:pt idx="207">
                  <c:v>148.02098035808095</c:v>
                </c:pt>
                <c:pt idx="208">
                  <c:v>148.5786772864025</c:v>
                </c:pt>
                <c:pt idx="209">
                  <c:v>149.1294115965778</c:v>
                </c:pt>
                <c:pt idx="210">
                  <c:v>149.67301634325213</c:v>
                </c:pt>
                <c:pt idx="211">
                  <c:v>150.20933648594365</c:v>
                </c:pt>
                <c:pt idx="212">
                  <c:v>150.73822877317244</c:v>
                </c:pt>
                <c:pt idx="213">
                  <c:v>151.25956158655518</c:v>
                </c:pt>
                <c:pt idx="214">
                  <c:v>151.77321474790463</c:v>
                </c:pt>
                <c:pt idx="215">
                  <c:v>152.27907929245873</c:v>
                </c:pt>
                <c:pt idx="216">
                  <c:v>152.77705721140609</c:v>
                </c:pt>
                <c:pt idx="217">
                  <c:v>153.26706116687532</c:v>
                </c:pt>
                <c:pt idx="218">
                  <c:v>153.74901418254214</c:v>
                </c:pt>
                <c:pt idx="219">
                  <c:v>154.22284931294521</c:v>
                </c:pt>
                <c:pt idx="220">
                  <c:v>154.68850929453018</c:v>
                </c:pt>
                <c:pt idx="221">
                  <c:v>155.14594618133907</c:v>
                </c:pt>
                <c:pt idx="222">
                  <c:v>155.59512096814228</c:v>
                </c:pt>
                <c:pt idx="223">
                  <c:v>156.03600320367983</c:v>
                </c:pt>
                <c:pt idx="224">
                  <c:v>156.46857059652868</c:v>
                </c:pt>
                <c:pt idx="225">
                  <c:v>156.89280861596129</c:v>
                </c:pt>
                <c:pt idx="226">
                  <c:v>157.30871008999483</c:v>
                </c:pt>
                <c:pt idx="227">
                  <c:v>157.7162748026648</c:v>
                </c:pt>
                <c:pt idx="228">
                  <c:v>158.11550909239261</c:v>
                </c:pt>
                <c:pt idx="229">
                  <c:v>158.50642545314594</c:v>
                </c:pt>
                <c:pt idx="230">
                  <c:v>158.88904213992114</c:v>
                </c:pt>
                <c:pt idx="231">
                  <c:v>159.26338277992588</c:v>
                </c:pt>
                <c:pt idx="232">
                  <c:v>159.62947599066936</c:v>
                </c:pt>
                <c:pt idx="233">
                  <c:v>159.98735500602916</c:v>
                </c:pt>
                <c:pt idx="234">
                  <c:v>160.33705731120918</c:v>
                </c:pt>
                <c:pt idx="235">
                  <c:v>160.67862428737251</c:v>
                </c:pt>
                <c:pt idx="236">
                  <c:v>161.01210086660336</c:v>
                </c:pt>
                <c:pt idx="237">
                  <c:v>161.33753519772841</c:v>
                </c:pt>
                <c:pt idx="238">
                  <c:v>161.65497832342177</c:v>
                </c:pt>
                <c:pt idx="239">
                  <c:v>161.96448386891112</c:v>
                </c:pt>
                <c:pt idx="240">
                  <c:v>162.26610774250574</c:v>
                </c:pt>
                <c:pt idx="241">
                  <c:v>162.55990784808995</c:v>
                </c:pt>
                <c:pt idx="242">
                  <c:v>162.84594380963617</c:v>
                </c:pt>
                <c:pt idx="243">
                  <c:v>163.12427670773152</c:v>
                </c:pt>
                <c:pt idx="244">
                  <c:v>163.39496882804465</c:v>
                </c:pt>
                <c:pt idx="245">
                  <c:v>163.65808342160597</c:v>
                </c:pt>
                <c:pt idx="246">
                  <c:v>163.91368447672664</c:v>
                </c:pt>
                <c:pt idx="247">
                  <c:v>164.16183650234007</c:v>
                </c:pt>
                <c:pt idx="248">
                  <c:v>164.40260432251335</c:v>
                </c:pt>
                <c:pt idx="249">
                  <c:v>164.63605288184746</c:v>
                </c:pt>
                <c:pt idx="250">
                  <c:v>164.86224706145902</c:v>
                </c:pt>
                <c:pt idx="251">
                  <c:v>165.08125150521641</c:v>
                </c:pt>
                <c:pt idx="252">
                  <c:v>165.29313045588916</c:v>
                </c:pt>
                <c:pt idx="253">
                  <c:v>165.49794760085405</c:v>
                </c:pt>
                <c:pt idx="254">
                  <c:v>165.69576592699684</c:v>
                </c:pt>
                <c:pt idx="255">
                  <c:v>165.88664758444239</c:v>
                </c:pt>
                <c:pt idx="256">
                  <c:v>166.07065375873975</c:v>
                </c:pt>
                <c:pt idx="257">
                  <c:v>166.24784455113766</c:v>
                </c:pt>
                <c:pt idx="258">
                  <c:v>166.41827886657842</c:v>
                </c:pt>
                <c:pt idx="259">
                  <c:v>166.58201430904992</c:v>
                </c:pt>
                <c:pt idx="260">
                  <c:v>166.73910708393845</c:v>
                </c:pt>
                <c:pt idx="261">
                  <c:v>166.88961190703344</c:v>
                </c:pt>
                <c:pt idx="262">
                  <c:v>167.03358191984319</c:v>
                </c:pt>
                <c:pt idx="263">
                  <c:v>167.17106861089226</c:v>
                </c:pt>
                <c:pt idx="264">
                  <c:v>167.30212174268101</c:v>
                </c:pt>
                <c:pt idx="265">
                  <c:v>167.42678928399738</c:v>
                </c:pt>
                <c:pt idx="266">
                  <c:v>167.54511734728891</c:v>
                </c:pt>
                <c:pt idx="267">
                  <c:v>167.65715013080802</c:v>
                </c:pt>
                <c:pt idx="268">
                  <c:v>167.76292986526246</c:v>
                </c:pt>
                <c:pt idx="269">
                  <c:v>167.86249676471351</c:v>
                </c:pt>
                <c:pt idx="270">
                  <c:v>167.95588898147869</c:v>
                </c:pt>
                <c:pt idx="271">
                  <c:v>168.04314256480839</c:v>
                </c:pt>
                <c:pt idx="272">
                  <c:v>168.12429142312047</c:v>
                </c:pt>
                <c:pt idx="273">
                  <c:v>168.19936728959107</c:v>
                </c:pt>
                <c:pt idx="274">
                  <c:v>168.26839969091057</c:v>
                </c:pt>
                <c:pt idx="275">
                  <c:v>168.3314159190316</c:v>
                </c:pt>
                <c:pt idx="276">
                  <c:v>168.38844100574519</c:v>
                </c:pt>
                <c:pt idx="277">
                  <c:v>168.43949769993813</c:v>
                </c:pt>
                <c:pt idx="278">
                  <c:v>168.48460644739424</c:v>
                </c:pt>
                <c:pt idx="279">
                  <c:v>168.5237853730199</c:v>
                </c:pt>
                <c:pt idx="280">
                  <c:v>168.55705026538243</c:v>
                </c:pt>
                <c:pt idx="281">
                  <c:v>168.58441456346699</c:v>
                </c:pt>
                <c:pt idx="282">
                  <c:v>168.60588934556679</c:v>
                </c:pt>
                <c:pt idx="283">
                  <c:v>168.62148332023847</c:v>
                </c:pt>
                <c:pt idx="284">
                  <c:v>168.63120281926155</c:v>
                </c:pt>
                <c:pt idx="285">
                  <c:v>168.63505179256001</c:v>
                </c:pt>
                <c:pt idx="286">
                  <c:v>168.63303180504928</c:v>
                </c:pt>
                <c:pt idx="287">
                  <c:v>168.62514203539172</c:v>
                </c:pt>
                <c:pt idx="288">
                  <c:v>168.61137927664927</c:v>
                </c:pt>
                <c:pt idx="289">
                  <c:v>168.59173793884034</c:v>
                </c:pt>
                <c:pt idx="290">
                  <c:v>168.56621005341515</c:v>
                </c:pt>
                <c:pt idx="291">
                  <c:v>168.53478527968051</c:v>
                </c:pt>
                <c:pt idx="292">
                  <c:v>168.49745091321458</c:v>
                </c:pt>
                <c:pt idx="293">
                  <c:v>168.45419189632545</c:v>
                </c:pt>
                <c:pt idx="294">
                  <c:v>168.40499083062195</c:v>
                </c:pt>
                <c:pt idx="295">
                  <c:v>168.34982799177357</c:v>
                </c:pt>
                <c:pt idx="296">
                  <c:v>168.28868134655335</c:v>
                </c:pt>
                <c:pt idx="297">
                  <c:v>168.22152657226877</c:v>
                </c:pt>
                <c:pt idx="298">
                  <c:v>168.14833707869707</c:v>
                </c:pt>
                <c:pt idx="299">
                  <c:v>168.06908403265965</c:v>
                </c:pt>
                <c:pt idx="300">
                  <c:v>167.98373638537424</c:v>
                </c:pt>
                <c:pt idx="301">
                  <c:v>167.89226090274963</c:v>
                </c:pt>
                <c:pt idx="302">
                  <c:v>167.79462219878863</c:v>
                </c:pt>
                <c:pt idx="303">
                  <c:v>167.69078277228601</c:v>
                </c:pt>
                <c:pt idx="304">
                  <c:v>167.58070304702099</c:v>
                </c:pt>
                <c:pt idx="305">
                  <c:v>167.46434141565422</c:v>
                </c:pt>
                <c:pt idx="306">
                  <c:v>167.34165428755654</c:v>
                </c:pt>
                <c:pt idx="307">
                  <c:v>167.21259614080751</c:v>
                </c:pt>
                <c:pt idx="308">
                  <c:v>167.07711957861773</c:v>
                </c:pt>
                <c:pt idx="309">
                  <c:v>166.93517539044004</c:v>
                </c:pt>
                <c:pt idx="310">
                  <c:v>166.78671261804948</c:v>
                </c:pt>
                <c:pt idx="311">
                  <c:v>166.63167862688326</c:v>
                </c:pt>
                <c:pt idx="312">
                  <c:v>166.47001918294504</c:v>
                </c:pt>
                <c:pt idx="313">
                  <c:v>166.3016785355909</c:v>
                </c:pt>
                <c:pt idx="314">
                  <c:v>166.12659950652059</c:v>
                </c:pt>
                <c:pt idx="315">
                  <c:v>165.94472358531641</c:v>
                </c:pt>
                <c:pt idx="316">
                  <c:v>165.75599103187017</c:v>
                </c:pt>
                <c:pt idx="317">
                  <c:v>165.56034098605835</c:v>
                </c:pt>
                <c:pt idx="318">
                  <c:v>165.35771158502214</c:v>
                </c:pt>
                <c:pt idx="319">
                  <c:v>165.14804008842128</c:v>
                </c:pt>
                <c:pt idx="320">
                  <c:v>164.93126301202969</c:v>
                </c:pt>
                <c:pt idx="321">
                  <c:v>164.70731627004255</c:v>
                </c:pt>
                <c:pt idx="322">
                  <c:v>164.47613532646608</c:v>
                </c:pt>
                <c:pt idx="323">
                  <c:v>164.23765535595109</c:v>
                </c:pt>
                <c:pt idx="324">
                  <c:v>163.99181141443012</c:v>
                </c:pt>
                <c:pt idx="325">
                  <c:v>163.73853861990423</c:v>
                </c:pt>
                <c:pt idx="326">
                  <c:v>163.47777234371213</c:v>
                </c:pt>
                <c:pt idx="327">
                  <c:v>163.20944841259305</c:v>
                </c:pt>
                <c:pt idx="328">
                  <c:v>162.93350332183653</c:v>
                </c:pt>
                <c:pt idx="329">
                  <c:v>162.6498744597782</c:v>
                </c:pt>
                <c:pt idx="330">
                  <c:v>162.35850034387258</c:v>
                </c:pt>
                <c:pt idx="331">
                  <c:v>162.05932086852806</c:v>
                </c:pt>
                <c:pt idx="332">
                  <c:v>161.75227756484998</c:v>
                </c:pt>
                <c:pt idx="333">
                  <c:v>161.43731387237798</c:v>
                </c:pt>
                <c:pt idx="334">
                  <c:v>161.11437542285216</c:v>
                </c:pt>
                <c:pt idx="335">
                  <c:v>160.78341033596556</c:v>
                </c:pt>
                <c:pt idx="336">
                  <c:v>160.44436952699417</c:v>
                </c:pt>
                <c:pt idx="337">
                  <c:v>160.09720702610716</c:v>
                </c:pt>
                <c:pt idx="338">
                  <c:v>159.74188030906816</c:v>
                </c:pt>
                <c:pt idx="339">
                  <c:v>159.3783506389417</c:v>
                </c:pt>
                <c:pt idx="340">
                  <c:v>159.00658341830567</c:v>
                </c:pt>
                <c:pt idx="341">
                  <c:v>158.626548551356</c:v>
                </c:pt>
                <c:pt idx="342">
                  <c:v>158.23822081516113</c:v>
                </c:pt>
                <c:pt idx="343">
                  <c:v>157.84158023919304</c:v>
                </c:pt>
                <c:pt idx="344">
                  <c:v>157.43661249211596</c:v>
                </c:pt>
                <c:pt idx="345">
                  <c:v>157.02330927466559</c:v>
                </c:pt>
                <c:pt idx="346">
                  <c:v>156.60166871729919</c:v>
                </c:pt>
                <c:pt idx="347">
                  <c:v>156.17169578113396</c:v>
                </c:pt>
                <c:pt idx="348">
                  <c:v>155.73340266052193</c:v>
                </c:pt>
                <c:pt idx="349">
                  <c:v>155.2868091854551</c:v>
                </c:pt>
                <c:pt idx="350">
                  <c:v>154.83194322180893</c:v>
                </c:pt>
                <c:pt idx="351">
                  <c:v>154.36884106728357</c:v>
                </c:pt>
                <c:pt idx="352">
                  <c:v>153.89754784072261</c:v>
                </c:pt>
                <c:pt idx="353">
                  <c:v>153.41811786234243</c:v>
                </c:pt>
                <c:pt idx="354">
                  <c:v>152.93061502224998</c:v>
                </c:pt>
                <c:pt idx="355">
                  <c:v>152.43511313449301</c:v>
                </c:pt>
                <c:pt idx="356">
                  <c:v>151.93169627375457</c:v>
                </c:pt>
                <c:pt idx="357">
                  <c:v>151.42045909171321</c:v>
                </c:pt>
                <c:pt idx="358">
                  <c:v>150.9015071099841</c:v>
                </c:pt>
                <c:pt idx="359">
                  <c:v>150.37495698651711</c:v>
                </c:pt>
                <c:pt idx="360">
                  <c:v>149.84093675227433</c:v>
                </c:pt>
                <c:pt idx="361">
                  <c:v>149.29958601502423</c:v>
                </c:pt>
                <c:pt idx="362">
                  <c:v>148.75105612710689</c:v>
                </c:pt>
                <c:pt idx="363">
                  <c:v>148.19551031409978</c:v>
                </c:pt>
                <c:pt idx="364">
                  <c:v>147.63312376141786</c:v>
                </c:pt>
                <c:pt idx="365">
                  <c:v>147.06408365603241</c:v>
                </c:pt>
                <c:pt idx="366">
                  <c:v>146.48858918067256</c:v>
                </c:pt>
                <c:pt idx="367">
                  <c:v>145.9068514581239</c:v>
                </c:pt>
                <c:pt idx="368">
                  <c:v>145.31909344349629</c:v>
                </c:pt>
                <c:pt idx="369">
                  <c:v>144.72554976266684</c:v>
                </c:pt>
                <c:pt idx="370">
                  <c:v>144.12646649545786</c:v>
                </c:pt>
                <c:pt idx="371">
                  <c:v>143.52210090250702</c:v>
                </c:pt>
                <c:pt idx="372">
                  <c:v>142.91272109522791</c:v>
                </c:pt>
                <c:pt idx="373">
                  <c:v>142.29860564872308</c:v>
                </c:pt>
                <c:pt idx="374">
                  <c:v>141.68004315799931</c:v>
                </c:pt>
                <c:pt idx="375">
                  <c:v>141.05733173835645</c:v>
                </c:pt>
                <c:pt idx="376">
                  <c:v>140.43077847134251</c:v>
                </c:pt>
                <c:pt idx="377">
                  <c:v>139.8006987981997</c:v>
                </c:pt>
                <c:pt idx="378">
                  <c:v>139.1674158632654</c:v>
                </c:pt>
                <c:pt idx="379">
                  <c:v>138.53125981030331</c:v>
                </c:pt>
                <c:pt idx="380">
                  <c:v>137.89256703525325</c:v>
                </c:pt>
                <c:pt idx="381">
                  <c:v>137.25167939936526</c:v>
                </c:pt>
                <c:pt idx="382">
                  <c:v>136.60894340711636</c:v>
                </c:pt>
                <c:pt idx="383">
                  <c:v>135.96470935372585</c:v>
                </c:pt>
                <c:pt idx="384">
                  <c:v>135.31933044742036</c:v>
                </c:pt>
                <c:pt idx="385">
                  <c:v>134.67316191190503</c:v>
                </c:pt>
                <c:pt idx="386">
                  <c:v>134.0265600747245</c:v>
                </c:pt>
                <c:pt idx="387">
                  <c:v>133.37988144736855</c:v>
                </c:pt>
                <c:pt idx="388">
                  <c:v>132.73348180306743</c:v>
                </c:pt>
                <c:pt idx="389">
                  <c:v>132.08771525826654</c:v>
                </c:pt>
                <c:pt idx="390">
                  <c:v>131.44293336369478</c:v>
                </c:pt>
                <c:pt idx="391">
                  <c:v>130.79948421086027</c:v>
                </c:pt>
                <c:pt idx="392">
                  <c:v>130.15771155959175</c:v>
                </c:pt>
                <c:pt idx="393">
                  <c:v>129.51795399201936</c:v>
                </c:pt>
                <c:pt idx="394">
                  <c:v>128.88054409805699</c:v>
                </c:pt>
                <c:pt idx="395">
                  <c:v>128.24580769710451</c:v>
                </c:pt>
                <c:pt idx="396">
                  <c:v>127.61406310025485</c:v>
                </c:pt>
                <c:pt idx="397">
                  <c:v>126.98562041686158</c:v>
                </c:pt>
                <c:pt idx="398">
                  <c:v>126.36078090881252</c:v>
                </c:pt>
                <c:pt idx="399">
                  <c:v>125.73983639536573</c:v>
                </c:pt>
                <c:pt idx="400">
                  <c:v>125.12306871086544</c:v>
                </c:pt>
                <c:pt idx="401">
                  <c:v>124.51074921713214</c:v>
                </c:pt>
                <c:pt idx="402">
                  <c:v>123.90313837177831</c:v>
                </c:pt>
                <c:pt idx="403">
                  <c:v>123.30048535318645</c:v>
                </c:pt>
                <c:pt idx="404">
                  <c:v>122.70302774237321</c:v>
                </c:pt>
                <c:pt idx="405">
                  <c:v>122.11099126147818</c:v>
                </c:pt>
                <c:pt idx="406">
                  <c:v>121.52458956815549</c:v>
                </c:pt>
                <c:pt idx="407">
                  <c:v>120.94402410472141</c:v>
                </c:pt>
                <c:pt idx="408">
                  <c:v>120.36948400052333</c:v>
                </c:pt>
                <c:pt idx="409">
                  <c:v>119.80114602564039</c:v>
                </c:pt>
                <c:pt idx="410">
                  <c:v>119.23917459372167</c:v>
                </c:pt>
                <c:pt idx="411">
                  <c:v>118.68372181150329</c:v>
                </c:pt>
                <c:pt idx="412">
                  <c:v>118.13492757231658</c:v>
                </c:pt>
                <c:pt idx="413">
                  <c:v>117.59291969073045</c:v>
                </c:pt>
                <c:pt idx="414">
                  <c:v>117.05781407532712</c:v>
                </c:pt>
                <c:pt idx="415">
                  <c:v>116.52971493651516</c:v>
                </c:pt>
                <c:pt idx="416">
                  <c:v>116.00871502622866</c:v>
                </c:pt>
                <c:pt idx="417">
                  <c:v>115.49489590633721</c:v>
                </c:pt>
                <c:pt idx="418">
                  <c:v>114.98832824260154</c:v>
                </c:pt>
                <c:pt idx="419">
                  <c:v>114.48907212105156</c:v>
                </c:pt>
                <c:pt idx="420">
                  <c:v>113.99717738373309</c:v>
                </c:pt>
                <c:pt idx="421">
                  <c:v>113.51268398085604</c:v>
                </c:pt>
                <c:pt idx="422">
                  <c:v>113.03562233649134</c:v>
                </c:pt>
                <c:pt idx="423">
                  <c:v>112.56601372508935</c:v>
                </c:pt>
                <c:pt idx="424">
                  <c:v>112.10387065623765</c:v>
                </c:pt>
                <c:pt idx="425">
                  <c:v>111.64919726521951</c:v>
                </c:pt>
                <c:pt idx="426">
                  <c:v>111.2019897071051</c:v>
                </c:pt>
                <c:pt idx="427">
                  <c:v>110.76223655226327</c:v>
                </c:pt>
                <c:pt idx="428">
                  <c:v>110.32991918135446</c:v>
                </c:pt>
                <c:pt idx="429">
                  <c:v>109.90501217802698</c:v>
                </c:pt>
                <c:pt idx="430">
                  <c:v>109.48748371771806</c:v>
                </c:pt>
                <c:pt idx="431">
                  <c:v>109.07729595110725</c:v>
                </c:pt>
                <c:pt idx="432">
                  <c:v>108.67440538094752</c:v>
                </c:pt>
                <c:pt idx="433">
                  <c:v>108.27876323113749</c:v>
                </c:pt>
                <c:pt idx="434">
                  <c:v>107.89031580705934</c:v>
                </c:pt>
                <c:pt idx="435">
                  <c:v>107.50900484633522</c:v>
                </c:pt>
                <c:pt idx="436">
                  <c:v>107.13476785929537</c:v>
                </c:pt>
                <c:pt idx="437">
                  <c:v>106.76753845857226</c:v>
                </c:pt>
                <c:pt idx="438">
                  <c:v>106.40724667735057</c:v>
                </c:pt>
                <c:pt idx="439">
                  <c:v>106.0538192759098</c:v>
                </c:pt>
                <c:pt idx="440">
                  <c:v>105.70718003619581</c:v>
                </c:pt>
                <c:pt idx="441">
                  <c:v>105.36725004424467</c:v>
                </c:pt>
                <c:pt idx="442">
                  <c:v>105.03394796036851</c:v>
                </c:pt>
                <c:pt idx="443">
                  <c:v>104.70719027707989</c:v>
                </c:pt>
                <c:pt idx="444">
                  <c:v>104.38689156480407</c:v>
                </c:pt>
                <c:pt idx="445">
                  <c:v>104.07296470547928</c:v>
                </c:pt>
                <c:pt idx="446">
                  <c:v>103.7653211142039</c:v>
                </c:pt>
                <c:pt idx="447">
                  <c:v>103.46387094912745</c:v>
                </c:pt>
                <c:pt idx="448">
                  <c:v>103.16852330982567</c:v>
                </c:pt>
                <c:pt idx="449">
                  <c:v>102.87918642442916</c:v>
                </c:pt>
                <c:pt idx="450">
                  <c:v>102.59576782580477</c:v>
                </c:pt>
                <c:pt idx="451">
                  <c:v>102.31817451711025</c:v>
                </c:pt>
                <c:pt idx="452">
                  <c:v>102.04631312706093</c:v>
                </c:pt>
                <c:pt idx="453">
                  <c:v>101.78009005526204</c:v>
                </c:pt>
                <c:pt idx="454">
                  <c:v>101.51941160796848</c:v>
                </c:pt>
                <c:pt idx="455">
                  <c:v>101.26418412464372</c:v>
                </c:pt>
                <c:pt idx="456">
                  <c:v>101.01431409569211</c:v>
                </c:pt>
                <c:pt idx="457">
                  <c:v>100.76970827173872</c:v>
                </c:pt>
                <c:pt idx="458">
                  <c:v>100.53027376483469</c:v>
                </c:pt>
                <c:pt idx="459">
                  <c:v>100.29591814195817</c:v>
                </c:pt>
                <c:pt idx="460">
                  <c:v>100.0665495111792</c:v>
                </c:pt>
                <c:pt idx="461">
                  <c:v>99.842076600851428</c:v>
                </c:pt>
                <c:pt idx="462">
                  <c:v>99.622408832183439</c:v>
                </c:pt>
                <c:pt idx="463">
                  <c:v>99.407456385537401</c:v>
                </c:pt>
                <c:pt idx="464">
                  <c:v>99.197130260790857</c:v>
                </c:pt>
                <c:pt idx="465">
                  <c:v>98.991342332090014</c:v>
                </c:pt>
                <c:pt idx="466">
                  <c:v>98.79000539730913</c:v>
                </c:pt>
                <c:pt idx="467">
                  <c:v>98.593033222524028</c:v>
                </c:pt>
                <c:pt idx="468">
                  <c:v>98.400340581792292</c:v>
                </c:pt>
                <c:pt idx="469">
                  <c:v>98.211843292524264</c:v>
                </c:pt>
                <c:pt idx="470">
                  <c:v>98.027458246716336</c:v>
                </c:pt>
                <c:pt idx="471">
                  <c:v>97.847103438305837</c:v>
                </c:pt>
                <c:pt idx="472">
                  <c:v>97.670697986897679</c:v>
                </c:pt>
                <c:pt idx="473">
                  <c:v>97.498162158098367</c:v>
                </c:pt>
                <c:pt idx="474">
                  <c:v>97.329417380684831</c:v>
                </c:pt>
                <c:pt idx="475">
                  <c:v>97.164386260822269</c:v>
                </c:pt>
                <c:pt idx="476">
                  <c:v>97.002992593536263</c:v>
                </c:pt>
                <c:pt idx="477">
                  <c:v>96.845161371632315</c:v>
                </c:pt>
                <c:pt idx="478">
                  <c:v>96.690818792247299</c:v>
                </c:pt>
                <c:pt idx="479">
                  <c:v>96.539892261206745</c:v>
                </c:pt>
                <c:pt idx="480">
                  <c:v>96.392310395351558</c:v>
                </c:pt>
                <c:pt idx="481">
                  <c:v>96.248003022991227</c:v>
                </c:pt>
                <c:pt idx="482">
                  <c:v>96.106901182628121</c:v>
                </c:pt>
                <c:pt idx="483">
                  <c:v>95.968937120092647</c:v>
                </c:pt>
                <c:pt idx="484">
                  <c:v>95.834044284218152</c:v>
                </c:pt>
                <c:pt idx="485">
                  <c:v>95.702157321177665</c:v>
                </c:pt>
                <c:pt idx="486">
                  <c:v>95.573212067599016</c:v>
                </c:pt>
                <c:pt idx="487">
                  <c:v>95.447145542563234</c:v>
                </c:pt>
                <c:pt idx="488">
                  <c:v>95.323895938590297</c:v>
                </c:pt>
                <c:pt idx="489">
                  <c:v>95.203402611704718</c:v>
                </c:pt>
                <c:pt idx="490">
                  <c:v>95.085606070670295</c:v>
                </c:pt>
                <c:pt idx="491">
                  <c:v>94.970447965477362</c:v>
                </c:pt>
                <c:pt idx="492">
                  <c:v>94.857871075158585</c:v>
                </c:pt>
                <c:pt idx="493">
                  <c:v>94.747819295007361</c:v>
                </c:pt>
                <c:pt idx="494">
                  <c:v>94.640237623263999</c:v>
                </c:pt>
                <c:pt idx="495">
                  <c:v>94.535072147334532</c:v>
                </c:pt>
                <c:pt idx="496">
                  <c:v>94.432270029598243</c:v>
                </c:pt>
                <c:pt idx="497">
                  <c:v>94.331779492860761</c:v>
                </c:pt>
                <c:pt idx="498">
                  <c:v>94.233549805500147</c:v>
                </c:pt>
                <c:pt idx="499">
                  <c:v>94.137531266355722</c:v>
                </c:pt>
                <c:pt idx="500">
                  <c:v>94.043675189399906</c:v>
                </c:pt>
                <c:pt idx="501">
                  <c:v>93.951933888236027</c:v>
                </c:pt>
                <c:pt idx="502">
                  <c:v>93.862260660456684</c:v>
                </c:pt>
                <c:pt idx="503">
                  <c:v>93.774609771898611</c:v>
                </c:pt>
                <c:pt idx="504">
                  <c:v>93.688936440824392</c:v>
                </c:pt>
                <c:pt idx="505">
                  <c:v>93.605196822060989</c:v>
                </c:pt>
                <c:pt idx="506">
                  <c:v>93.523347991121071</c:v>
                </c:pt>
                <c:pt idx="507">
                  <c:v>93.443347928332003</c:v>
                </c:pt>
                <c:pt idx="508">
                  <c:v>93.365155502994853</c:v>
                </c:pt>
                <c:pt idx="509">
                  <c:v>93.2887304575939</c:v>
                </c:pt>
                <c:pt idx="510">
                  <c:v>93.214033392075692</c:v>
                </c:pt>
                <c:pt idx="511">
                  <c:v>93.141025748214275</c:v>
                </c:pt>
                <c:pt idx="512">
                  <c:v>93.06966979407828</c:v>
                </c:pt>
                <c:pt idx="513">
                  <c:v>92.999928608614312</c:v>
                </c:pt>
                <c:pt idx="514">
                  <c:v>92.931766066358762</c:v>
                </c:pt>
                <c:pt idx="515">
                  <c:v>92.865146822289844</c:v>
                </c:pt>
                <c:pt idx="516">
                  <c:v>92.800036296830157</c:v>
                </c:pt>
                <c:pt idx="517">
                  <c:v>92.73640066100873</c:v>
                </c:pt>
                <c:pt idx="518">
                  <c:v>92.674206821790975</c:v>
                </c:pt>
                <c:pt idx="519">
                  <c:v>92.613422407583698</c:v>
                </c:pt>
                <c:pt idx="520">
                  <c:v>92.554015753921377</c:v>
                </c:pt>
                <c:pt idx="521">
                  <c:v>92.495955889339584</c:v>
                </c:pt>
                <c:pt idx="522">
                  <c:v>92.439212521440083</c:v>
                </c:pt>
                <c:pt idx="523">
                  <c:v>92.383756023151946</c:v>
                </c:pt>
                <c:pt idx="524">
                  <c:v>92.329557419191701</c:v>
                </c:pt>
                <c:pt idx="525">
                  <c:v>92.276588372726195</c:v>
                </c:pt>
                <c:pt idx="526">
                  <c:v>92.224821172239729</c:v>
                </c:pt>
                <c:pt idx="527">
                  <c:v>92.174228718607708</c:v>
                </c:pt>
                <c:pt idx="528">
                  <c:v>92.124784512378255</c:v>
                </c:pt>
                <c:pt idx="529">
                  <c:v>92.076462641262154</c:v>
                </c:pt>
                <c:pt idx="530">
                  <c:v>92.029237767832669</c:v>
                </c:pt>
                <c:pt idx="531">
                  <c:v>91.983085117434271</c:v>
                </c:pt>
                <c:pt idx="532">
                  <c:v>91.937980466301411</c:v>
                </c:pt>
                <c:pt idx="533">
                  <c:v>91.893900129885523</c:v>
                </c:pt>
                <c:pt idx="534">
                  <c:v>91.850820951390887</c:v>
                </c:pt>
                <c:pt idx="535">
                  <c:v>91.808720290517371</c:v>
                </c:pt>
                <c:pt idx="536">
                  <c:v>91.767576012409563</c:v>
                </c:pt>
                <c:pt idx="537">
                  <c:v>91.727366476810502</c:v>
                </c:pt>
                <c:pt idx="538">
                  <c:v>91.688070527418475</c:v>
                </c:pt>
                <c:pt idx="539">
                  <c:v>91.649667481445618</c:v>
                </c:pt>
                <c:pt idx="540">
                  <c:v>91.612137119375561</c:v>
                </c:pt>
                <c:pt idx="541">
                  <c:v>91.575459674919045</c:v>
                </c:pt>
              </c:numCache>
            </c:numRef>
          </c:yVal>
          <c:smooth val="1"/>
          <c:extLst>
            <c:ext xmlns:c16="http://schemas.microsoft.com/office/drawing/2014/chart" uri="{C3380CC4-5D6E-409C-BE32-E72D297353CC}">
              <c16:uniqueId val="{00000001-C95D-4273-8D1D-E8C586949522}"/>
            </c:ext>
          </c:extLst>
        </c:ser>
        <c:dLbls>
          <c:showLegendKey val="0"/>
          <c:showVal val="0"/>
          <c:showCatName val="0"/>
          <c:showSerName val="0"/>
          <c:showPercent val="0"/>
          <c:showBubbleSize val="0"/>
        </c:dLbls>
        <c:axId val="160545024"/>
        <c:axId val="160543488"/>
      </c:scatterChart>
      <c:valAx>
        <c:axId val="16053120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533120"/>
        <c:crosses val="autoZero"/>
        <c:crossBetween val="midCat"/>
      </c:valAx>
      <c:valAx>
        <c:axId val="160533120"/>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0531200"/>
        <c:crosses val="autoZero"/>
        <c:crossBetween val="midCat"/>
        <c:majorUnit val="20"/>
        <c:minorUnit val="10"/>
      </c:valAx>
      <c:valAx>
        <c:axId val="160543488"/>
        <c:scaling>
          <c:orientation val="minMax"/>
          <c:max val="180"/>
          <c:min val="-180"/>
        </c:scaling>
        <c:delete val="0"/>
        <c:axPos val="r"/>
        <c:numFmt formatCode="General" sourceLinked="1"/>
        <c:majorTickMark val="out"/>
        <c:minorTickMark val="none"/>
        <c:tickLblPos val="nextTo"/>
        <c:crossAx val="160545024"/>
        <c:crosses val="max"/>
        <c:crossBetween val="midCat"/>
        <c:majorUnit val="90"/>
        <c:minorUnit val="45"/>
      </c:valAx>
      <c:valAx>
        <c:axId val="160545024"/>
        <c:scaling>
          <c:logBase val="10"/>
          <c:orientation val="minMax"/>
        </c:scaling>
        <c:delete val="1"/>
        <c:axPos val="b"/>
        <c:numFmt formatCode="0.00" sourceLinked="1"/>
        <c:majorTickMark val="out"/>
        <c:minorTickMark val="none"/>
        <c:tickLblPos val="nextTo"/>
        <c:crossAx val="16054348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0-F188-4D39-B62C-FFCB026FFDB3}"/>
            </c:ext>
          </c:extLst>
        </c:ser>
        <c:dLbls>
          <c:showLegendKey val="0"/>
          <c:showVal val="0"/>
          <c:showCatName val="0"/>
          <c:showSerName val="0"/>
          <c:showPercent val="0"/>
          <c:showBubbleSize val="0"/>
        </c:dLbls>
        <c:axId val="160959104"/>
        <c:axId val="160985856"/>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yVal>
          <c:smooth val="1"/>
          <c:extLst>
            <c:ext xmlns:c16="http://schemas.microsoft.com/office/drawing/2014/chart" uri="{C3380CC4-5D6E-409C-BE32-E72D297353CC}">
              <c16:uniqueId val="{00000001-F188-4D39-B62C-FFCB026FFDB3}"/>
            </c:ext>
          </c:extLst>
        </c:ser>
        <c:dLbls>
          <c:showLegendKey val="0"/>
          <c:showVal val="0"/>
          <c:showCatName val="0"/>
          <c:showSerName val="0"/>
          <c:showPercent val="0"/>
          <c:showBubbleSize val="0"/>
        </c:dLbls>
        <c:axId val="161005952"/>
        <c:axId val="160987776"/>
      </c:scatterChart>
      <c:valAx>
        <c:axId val="16095910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985856"/>
        <c:crosses val="autoZero"/>
        <c:crossBetween val="midCat"/>
      </c:valAx>
      <c:valAx>
        <c:axId val="160985856"/>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60959104"/>
        <c:crosses val="autoZero"/>
        <c:crossBetween val="midCat"/>
        <c:majorUnit val="20"/>
        <c:minorUnit val="10"/>
      </c:valAx>
      <c:valAx>
        <c:axId val="160987776"/>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61005952"/>
        <c:crosses val="max"/>
        <c:crossBetween val="midCat"/>
        <c:majorUnit val="90"/>
        <c:minorUnit val="45"/>
      </c:valAx>
      <c:valAx>
        <c:axId val="161005952"/>
        <c:scaling>
          <c:logBase val="10"/>
          <c:orientation val="minMax"/>
        </c:scaling>
        <c:delete val="1"/>
        <c:axPos val="b"/>
        <c:numFmt formatCode="0.00" sourceLinked="1"/>
        <c:majorTickMark val="out"/>
        <c:minorTickMark val="none"/>
        <c:tickLblPos val="nextTo"/>
        <c:crossAx val="16098777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Eff_vs_IOUT!$AT$7:$AT$157</c:f>
              <c:numCache>
                <c:formatCode>General</c:formatCode>
                <c:ptCount val="151"/>
                <c:pt idx="0">
                  <c:v>0</c:v>
                </c:pt>
                <c:pt idx="1">
                  <c:v>6.4061697565850713</c:v>
                </c:pt>
                <c:pt idx="2">
                  <c:v>11.980919438793599</c:v>
                </c:pt>
                <c:pt idx="3">
                  <c:v>16.875422583621468</c:v>
                </c:pt>
                <c:pt idx="4">
                  <c:v>21.206484631719597</c:v>
                </c:pt>
                <c:pt idx="5">
                  <c:v>25.065695678558132</c:v>
                </c:pt>
                <c:pt idx="6">
                  <c:v>28.525859592137582</c:v>
                </c:pt>
                <c:pt idx="7">
                  <c:v>31.645563724395259</c:v>
                </c:pt>
                <c:pt idx="8">
                  <c:v>34.47248113536174</c:v>
                </c:pt>
                <c:pt idx="9">
                  <c:v>37.045795284278874</c:v>
                </c:pt>
                <c:pt idx="10">
                  <c:v>39.398006886791848</c:v>
                </c:pt>
                <c:pt idx="11">
                  <c:v>41.556298745489748</c:v>
                </c:pt>
                <c:pt idx="12">
                  <c:v>43.543579578254253</c:v>
                </c:pt>
                <c:pt idx="13">
                  <c:v>45.379291497555236</c:v>
                </c:pt>
                <c:pt idx="14">
                  <c:v>47.080041243267189</c:v>
                </c:pt>
                <c:pt idx="15">
                  <c:v>48.660098436384907</c:v>
                </c:pt>
                <c:pt idx="16">
                  <c:v>50.131792404267529</c:v>
                </c:pt>
                <c:pt idx="17">
                  <c:v>51.505830860079016</c:v>
                </c:pt>
                <c:pt idx="18">
                  <c:v>52.894433029730003</c:v>
                </c:pt>
                <c:pt idx="19">
                  <c:v>54.107205256214371</c:v>
                </c:pt>
                <c:pt idx="20">
                  <c:v>55.246830835789552</c:v>
                </c:pt>
                <c:pt idx="21">
                  <c:v>56.319673990567289</c:v>
                </c:pt>
                <c:pt idx="22">
                  <c:v>57.331381476401397</c:v>
                </c:pt>
                <c:pt idx="23">
                  <c:v>58.286980915348522</c:v>
                </c:pt>
                <c:pt idx="24">
                  <c:v>59.190963387236387</c:v>
                </c:pt>
                <c:pt idx="25">
                  <c:v>60.047353143684091</c:v>
                </c:pt>
                <c:pt idx="26">
                  <c:v>60.859766727731589</c:v>
                </c:pt>
                <c:pt idx="27">
                  <c:v>61.631463331037338</c:v>
                </c:pt>
                <c:pt idx="28">
                  <c:v>62.365387867298196</c:v>
                </c:pt>
                <c:pt idx="29">
                  <c:v>63.064207962090457</c:v>
                </c:pt>
                <c:pt idx="30">
                  <c:v>63.730345838511816</c:v>
                </c:pt>
                <c:pt idx="31">
                  <c:v>64.366005901862906</c:v>
                </c:pt>
                <c:pt idx="32">
                  <c:v>64.973198685321549</c:v>
                </c:pt>
                <c:pt idx="33">
                  <c:v>65.553761704633402</c:v>
                </c:pt>
                <c:pt idx="34">
                  <c:v>66.109377677508334</c:v>
                </c:pt>
                <c:pt idx="35">
                  <c:v>66.641590488218171</c:v>
                </c:pt>
                <c:pt idx="36">
                  <c:v>67.151819216374378</c:v>
                </c:pt>
                <c:pt idx="37">
                  <c:v>67.641370498314728</c:v>
                </c:pt>
                <c:pt idx="38">
                  <c:v>68.111449447815303</c:v>
                </c:pt>
                <c:pt idx="39">
                  <c:v>68.56316932828507</c:v>
                </c:pt>
                <c:pt idx="40">
                  <c:v>68.997560139856091</c:v>
                </c:pt>
                <c:pt idx="41">
                  <c:v>69.4155762607881</c:v>
                </c:pt>
                <c:pt idx="42">
                  <c:v>69.818103262501836</c:v>
                </c:pt>
                <c:pt idx="43">
                  <c:v>70.205964000657303</c:v>
                </c:pt>
                <c:pt idx="44">
                  <c:v>70.57992407043831</c:v>
                </c:pt>
                <c:pt idx="45">
                  <c:v>70.940696702145175</c:v>
                </c:pt>
                <c:pt idx="46">
                  <c:v>71.288947162961989</c:v>
                </c:pt>
                <c:pt idx="47">
                  <c:v>71.625296722052724</c:v>
                </c:pt>
                <c:pt idx="48">
                  <c:v>71.950326228703048</c:v>
                </c:pt>
                <c:pt idx="49">
                  <c:v>72.264579346859946</c:v>
                </c:pt>
                <c:pt idx="50">
                  <c:v>72.568565483957144</c:v>
                </c:pt>
                <c:pt idx="51">
                  <c:v>72.862762447214038</c:v>
                </c:pt>
                <c:pt idx="52">
                  <c:v>73.147618856541612</c:v>
                </c:pt>
                <c:pt idx="53">
                  <c:v>73.423556339682364</c:v>
                </c:pt>
                <c:pt idx="54">
                  <c:v>73.690971532173606</c:v>
                </c:pt>
                <c:pt idx="55">
                  <c:v>73.950237902084694</c:v>
                </c:pt>
                <c:pt idx="56">
                  <c:v>74.201707417181353</c:v>
                </c:pt>
                <c:pt idx="57">
                  <c:v>74.445712070166692</c:v>
                </c:pt>
                <c:pt idx="58">
                  <c:v>74.682565275897232</c:v>
                </c:pt>
                <c:pt idx="59">
                  <c:v>74.912563152937935</c:v>
                </c:pt>
                <c:pt idx="60">
                  <c:v>75.135985700474421</c:v>
                </c:pt>
                <c:pt idx="61">
                  <c:v>75.353097880416954</c:v>
                </c:pt>
                <c:pt idx="62">
                  <c:v>75.564150613488408</c:v>
                </c:pt>
                <c:pt idx="63">
                  <c:v>75.769381697169194</c:v>
                </c:pt>
                <c:pt idx="64">
                  <c:v>75.969016652558437</c:v>
                </c:pt>
                <c:pt idx="65">
                  <c:v>76.163269506491901</c:v>
                </c:pt>
                <c:pt idx="66">
                  <c:v>76.352343514618411</c:v>
                </c:pt>
                <c:pt idx="67">
                  <c:v>76.53643183057028</c:v>
                </c:pt>
                <c:pt idx="68">
                  <c:v>76.715718125858416</c:v>
                </c:pt>
                <c:pt idx="69">
                  <c:v>76.890377164674092</c:v>
                </c:pt>
                <c:pt idx="70">
                  <c:v>77.060575337378793</c:v>
                </c:pt>
                <c:pt idx="71">
                  <c:v>77.226471156104438</c:v>
                </c:pt>
                <c:pt idx="72">
                  <c:v>77.388215715567682</c:v>
                </c:pt>
                <c:pt idx="73">
                  <c:v>77.545953121913101</c:v>
                </c:pt>
                <c:pt idx="74">
                  <c:v>77.699820892143933</c:v>
                </c:pt>
                <c:pt idx="75">
                  <c:v>77.849950326467138</c:v>
                </c:pt>
                <c:pt idx="76">
                  <c:v>77.996466855671727</c:v>
                </c:pt>
                <c:pt idx="77">
                  <c:v>78.139490365471673</c:v>
                </c:pt>
                <c:pt idx="78">
                  <c:v>78.279135499576327</c:v>
                </c:pt>
                <c:pt idx="79">
                  <c:v>78.41551194309821</c:v>
                </c:pt>
                <c:pt idx="80">
                  <c:v>78.548724687770715</c:v>
                </c:pt>
                <c:pt idx="81">
                  <c:v>78.678874280323228</c:v>
                </c:pt>
                <c:pt idx="82">
                  <c:v>78.80605705524863</c:v>
                </c:pt>
                <c:pt idx="83">
                  <c:v>78.93036535309534</c:v>
                </c:pt>
                <c:pt idx="84">
                  <c:v>79.051887725323652</c:v>
                </c:pt>
                <c:pt idx="85">
                  <c:v>79.170709126680975</c:v>
                </c:pt>
                <c:pt idx="86">
                  <c:v>79.286911095974645</c:v>
                </c:pt>
                <c:pt idx="87">
                  <c:v>79.400571926050063</c:v>
                </c:pt>
                <c:pt idx="88">
                  <c:v>79.511766823719427</c:v>
                </c:pt>
                <c:pt idx="89">
                  <c:v>79.620568060326775</c:v>
                </c:pt>
                <c:pt idx="90">
                  <c:v>79.72704511358323</c:v>
                </c:pt>
                <c:pt idx="91">
                  <c:v>79.831264801257134</c:v>
                </c:pt>
                <c:pt idx="92">
                  <c:v>79.933291407259688</c:v>
                </c:pt>
                <c:pt idx="93">
                  <c:v>80.033186800625813</c:v>
                </c:pt>
                <c:pt idx="94">
                  <c:v>80.131010547853222</c:v>
                </c:pt>
                <c:pt idx="95">
                  <c:v>80.226820019028111</c:v>
                </c:pt>
                <c:pt idx="96">
                  <c:v>80.320670488134638</c:v>
                </c:pt>
                <c:pt idx="97">
                  <c:v>80.412615227917087</c:v>
                </c:pt>
                <c:pt idx="98">
                  <c:v>80.502705599636286</c:v>
                </c:pt>
                <c:pt idx="99">
                  <c:v>80.590991138038277</c:v>
                </c:pt>
                <c:pt idx="100">
                  <c:v>80.677519631830577</c:v>
                </c:pt>
                <c:pt idx="101">
                  <c:v>80.762337199940646</c:v>
                </c:pt>
                <c:pt idx="102">
                  <c:v>80.845488363812308</c:v>
                </c:pt>
                <c:pt idx="103">
                  <c:v>80.927016115977906</c:v>
                </c:pt>
                <c:pt idx="104">
                  <c:v>81.006961985128797</c:v>
                </c:pt>
                <c:pt idx="105">
                  <c:v>81.085366097890159</c:v>
                </c:pt>
                <c:pt idx="106">
                  <c:v>81.162267237494035</c:v>
                </c:pt>
                <c:pt idx="107">
                  <c:v>81.237702899530177</c:v>
                </c:pt>
                <c:pt idx="108">
                  <c:v>81.311709344943566</c:v>
                </c:pt>
                <c:pt idx="109">
                  <c:v>81.384321650435581</c:v>
                </c:pt>
                <c:pt idx="110">
                  <c:v>81.455573756416214</c:v>
                </c:pt>
                <c:pt idx="111">
                  <c:v>81.525498512645072</c:v>
                </c:pt>
                <c:pt idx="112">
                  <c:v>81.594127721689901</c:v>
                </c:pt>
                <c:pt idx="113">
                  <c:v>81.66149218032362</c:v>
                </c:pt>
                <c:pt idx="114">
                  <c:v>81.727621718972969</c:v>
                </c:pt>
                <c:pt idx="115">
                  <c:v>81.792545239324824</c:v>
                </c:pt>
                <c:pt idx="116">
                  <c:v>81.856290750190112</c:v>
                </c:pt>
                <c:pt idx="117">
                  <c:v>81.91888540171837</c:v>
                </c:pt>
                <c:pt idx="118">
                  <c:v>81.980355518050999</c:v>
                </c:pt>
                <c:pt idx="119">
                  <c:v>82.040726628495861</c:v>
                </c:pt>
                <c:pt idx="120">
                  <c:v>82.100023497300299</c:v>
                </c:pt>
                <c:pt idx="121">
                  <c:v>82.158270152095966</c:v>
                </c:pt>
                <c:pt idx="122">
                  <c:v>82.215489911084035</c:v>
                </c:pt>
                <c:pt idx="123">
                  <c:v>82.271705409024975</c:v>
                </c:pt>
                <c:pt idx="124">
                  <c:v>82.326938622094488</c:v>
                </c:pt>
                <c:pt idx="125">
                  <c:v>82.38121089166215</c:v>
                </c:pt>
                <c:pt idx="126">
                  <c:v>82.43454294704739</c:v>
                </c:pt>
                <c:pt idx="127">
                  <c:v>82.486954927303444</c:v>
                </c:pt>
                <c:pt idx="128">
                  <c:v>82.538466402077688</c:v>
                </c:pt>
                <c:pt idx="129">
                  <c:v>82.589096391593159</c:v>
                </c:pt>
                <c:pt idx="130">
                  <c:v>82.638863385794949</c:v>
                </c:pt>
                <c:pt idx="131">
                  <c:v>82.68778536270105</c:v>
                </c:pt>
                <c:pt idx="132">
                  <c:v>82.735879805996831</c:v>
                </c:pt>
                <c:pt idx="133">
                  <c:v>82.783163721908366</c:v>
                </c:pt>
                <c:pt idx="134">
                  <c:v>82.829653655389663</c:v>
                </c:pt>
                <c:pt idx="135">
                  <c:v>82.875365705655597</c:v>
                </c:pt>
                <c:pt idx="136">
                  <c:v>82.920315541091426</c:v>
                </c:pt>
                <c:pt idx="137">
                  <c:v>82.964518413567831</c:v>
                </c:pt>
                <c:pt idx="138">
                  <c:v>83.007989172188957</c:v>
                </c:pt>
                <c:pt idx="139">
                  <c:v>83.050742276499477</c:v>
                </c:pt>
                <c:pt idx="140">
                  <c:v>83.092791809175353</c:v>
                </c:pt>
                <c:pt idx="141">
                  <c:v>83.134151488221704</c:v>
                </c:pt>
                <c:pt idx="142">
                  <c:v>83.174834678699995</c:v>
                </c:pt>
                <c:pt idx="143">
                  <c:v>83.21485440400545</c:v>
                </c:pt>
                <c:pt idx="144">
                  <c:v>83.254223356714903</c:v>
                </c:pt>
                <c:pt idx="145">
                  <c:v>83.29295390902405</c:v>
                </c:pt>
                <c:pt idx="146">
                  <c:v>83.331058122791717</c:v>
                </c:pt>
                <c:pt idx="147">
                  <c:v>83.36854775920898</c:v>
                </c:pt>
                <c:pt idx="148">
                  <c:v>83.405434288108694</c:v>
                </c:pt>
                <c:pt idx="149">
                  <c:v>83.441728896931508</c:v>
                </c:pt>
                <c:pt idx="150">
                  <c:v>83.477442499362624</c:v>
                </c:pt>
              </c:numCache>
            </c:numRef>
          </c:yVal>
          <c:smooth val="0"/>
          <c:extLst>
            <c:ext xmlns:c16="http://schemas.microsoft.com/office/drawing/2014/chart" uri="{C3380CC4-5D6E-409C-BE32-E72D297353CC}">
              <c16:uniqueId val="{00000000-D428-476F-9D9B-414A5D21B4D3}"/>
            </c:ext>
          </c:extLst>
        </c:ser>
        <c:dLbls>
          <c:showLegendKey val="0"/>
          <c:showVal val="0"/>
          <c:showCatName val="0"/>
          <c:showSerName val="0"/>
          <c:showPercent val="0"/>
          <c:showBubbleSize val="0"/>
        </c:dLbls>
        <c:axId val="161084544"/>
        <c:axId val="16108608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Eff_vs_IOUT!$AI$7:$AI$157</c:f>
              <c:numCache>
                <c:formatCode>General</c:formatCode>
                <c:ptCount val="151"/>
                <c:pt idx="0">
                  <c:v>0</c:v>
                </c:pt>
                <c:pt idx="1">
                  <c:v>3.3525116441776824E-3</c:v>
                </c:pt>
                <c:pt idx="2">
                  <c:v>6.7087725576077343E-3</c:v>
                </c:pt>
                <c:pt idx="3">
                  <c:v>1.0067474209635417E-2</c:v>
                </c:pt>
                <c:pt idx="4">
                  <c:v>1.3428149650066846E-2</c:v>
                </c:pt>
                <c:pt idx="5">
                  <c:v>1.6790529007475699E-2</c:v>
                </c:pt>
                <c:pt idx="6">
                  <c:v>2.015443019377991E-2</c:v>
                </c:pt>
                <c:pt idx="7">
                  <c:v>2.3519719533486499E-2</c:v>
                </c:pt>
                <c:pt idx="8">
                  <c:v>2.6886293454152648E-2</c:v>
                </c:pt>
                <c:pt idx="9">
                  <c:v>3.0254068627701674E-2</c:v>
                </c:pt>
                <c:pt idx="10">
                  <c:v>3.3622976119522641E-2</c:v>
                </c:pt>
                <c:pt idx="11">
                  <c:v>3.699295766438012E-2</c:v>
                </c:pt>
                <c:pt idx="12">
                  <c:v>4.0363963167019484E-2</c:v>
                </c:pt>
                <c:pt idx="13">
                  <c:v>4.3735948953396636E-2</c:v>
                </c:pt>
                <c:pt idx="14">
                  <c:v>4.7108876505252931E-2</c:v>
                </c:pt>
                <c:pt idx="15">
                  <c:v>5.0482711518667615E-2</c:v>
                </c:pt>
                <c:pt idx="16">
                  <c:v>5.3857423187116324E-2</c:v>
                </c:pt>
                <c:pt idx="17">
                  <c:v>5.7232983644538299E-2</c:v>
                </c:pt>
                <c:pt idx="18">
                  <c:v>6.0670949104779236E-2</c:v>
                </c:pt>
                <c:pt idx="19">
                  <c:v>6.4055906431235168E-2</c:v>
                </c:pt>
                <c:pt idx="20">
                  <c:v>6.7442862214481231E-2</c:v>
                </c:pt>
                <c:pt idx="21">
                  <c:v>7.0831816454517416E-2</c:v>
                </c:pt>
                <c:pt idx="22">
                  <c:v>7.4222769151343723E-2</c:v>
                </c:pt>
                <c:pt idx="23">
                  <c:v>7.7615720304960154E-2</c:v>
                </c:pt>
                <c:pt idx="24">
                  <c:v>8.1010669915366693E-2</c:v>
                </c:pt>
                <c:pt idx="25">
                  <c:v>8.4407617982563382E-2</c:v>
                </c:pt>
                <c:pt idx="26">
                  <c:v>8.780656450655018E-2</c:v>
                </c:pt>
                <c:pt idx="27">
                  <c:v>9.1207509487327101E-2</c:v>
                </c:pt>
                <c:pt idx="28">
                  <c:v>9.4610452924894131E-2</c:v>
                </c:pt>
                <c:pt idx="29">
                  <c:v>9.8015394819251311E-2</c:v>
                </c:pt>
                <c:pt idx="30">
                  <c:v>0.10142233517039866</c:v>
                </c:pt>
                <c:pt idx="31">
                  <c:v>0.10483127397833604</c:v>
                </c:pt>
                <c:pt idx="32">
                  <c:v>0.10824221124306357</c:v>
                </c:pt>
                <c:pt idx="33">
                  <c:v>0.11165514696458126</c:v>
                </c:pt>
                <c:pt idx="34">
                  <c:v>0.11507008114288904</c:v>
                </c:pt>
                <c:pt idx="35">
                  <c:v>0.11848701377798697</c:v>
                </c:pt>
                <c:pt idx="36">
                  <c:v>0.12190594486987501</c:v>
                </c:pt>
                <c:pt idx="37">
                  <c:v>0.12532687441855314</c:v>
                </c:pt>
                <c:pt idx="38">
                  <c:v>0.12874980242402145</c:v>
                </c:pt>
                <c:pt idx="39">
                  <c:v>0.13217472888627985</c:v>
                </c:pt>
                <c:pt idx="40">
                  <c:v>0.1356016538053284</c:v>
                </c:pt>
                <c:pt idx="41">
                  <c:v>0.13903057718116704</c:v>
                </c:pt>
                <c:pt idx="42">
                  <c:v>0.14246149901379582</c:v>
                </c:pt>
                <c:pt idx="43">
                  <c:v>0.14589441930321467</c:v>
                </c:pt>
                <c:pt idx="44">
                  <c:v>0.14932933804942375</c:v>
                </c:pt>
                <c:pt idx="45">
                  <c:v>0.15276625525242288</c:v>
                </c:pt>
                <c:pt idx="46">
                  <c:v>0.15620517091221214</c:v>
                </c:pt>
                <c:pt idx="47">
                  <c:v>0.15964608502879155</c:v>
                </c:pt>
                <c:pt idx="48">
                  <c:v>0.16308899760216106</c:v>
                </c:pt>
                <c:pt idx="49">
                  <c:v>0.16653390863232068</c:v>
                </c:pt>
                <c:pt idx="50">
                  <c:v>0.16998081811927049</c:v>
                </c:pt>
                <c:pt idx="51">
                  <c:v>0.17342972606301035</c:v>
                </c:pt>
                <c:pt idx="52">
                  <c:v>0.17688063246354035</c:v>
                </c:pt>
                <c:pt idx="53">
                  <c:v>0.18033353732086052</c:v>
                </c:pt>
                <c:pt idx="54">
                  <c:v>0.18378844063497074</c:v>
                </c:pt>
                <c:pt idx="55">
                  <c:v>0.18724534240587118</c:v>
                </c:pt>
                <c:pt idx="56">
                  <c:v>0.19070424263356159</c:v>
                </c:pt>
                <c:pt idx="57">
                  <c:v>0.19416514131804224</c:v>
                </c:pt>
                <c:pt idx="58">
                  <c:v>0.19762803845931301</c:v>
                </c:pt>
                <c:pt idx="59">
                  <c:v>0.20109293405737391</c:v>
                </c:pt>
                <c:pt idx="60">
                  <c:v>0.20455982811222495</c:v>
                </c:pt>
                <c:pt idx="61">
                  <c:v>0.20802872062386601</c:v>
                </c:pt>
                <c:pt idx="62">
                  <c:v>0.21149961159229724</c:v>
                </c:pt>
                <c:pt idx="63">
                  <c:v>0.21497250101751855</c:v>
                </c:pt>
                <c:pt idx="64">
                  <c:v>0.21844738889953011</c:v>
                </c:pt>
                <c:pt idx="65">
                  <c:v>0.22192427523833178</c:v>
                </c:pt>
                <c:pt idx="66">
                  <c:v>0.22540316003392349</c:v>
                </c:pt>
                <c:pt idx="67">
                  <c:v>0.22888404328630535</c:v>
                </c:pt>
                <c:pt idx="68">
                  <c:v>0.23236692499547734</c:v>
                </c:pt>
                <c:pt idx="69">
                  <c:v>0.2358518051614395</c:v>
                </c:pt>
                <c:pt idx="70">
                  <c:v>0.23933868378419171</c:v>
                </c:pt>
                <c:pt idx="71">
                  <c:v>0.24282756086373403</c:v>
                </c:pt>
                <c:pt idx="72">
                  <c:v>0.24631843640006656</c:v>
                </c:pt>
                <c:pt idx="73">
                  <c:v>0.24981131039318913</c:v>
                </c:pt>
                <c:pt idx="74">
                  <c:v>0.25330618284310186</c:v>
                </c:pt>
                <c:pt idx="75">
                  <c:v>0.25680305374980467</c:v>
                </c:pt>
                <c:pt idx="76">
                  <c:v>0.2603019231132977</c:v>
                </c:pt>
                <c:pt idx="77">
                  <c:v>0.26380279093358078</c:v>
                </c:pt>
                <c:pt idx="78">
                  <c:v>0.26730565721065402</c:v>
                </c:pt>
                <c:pt idx="79">
                  <c:v>0.27081052194451738</c:v>
                </c:pt>
                <c:pt idx="80">
                  <c:v>0.27431738513517084</c:v>
                </c:pt>
                <c:pt idx="81">
                  <c:v>0.27782624678261436</c:v>
                </c:pt>
                <c:pt idx="82">
                  <c:v>0.28133710688684815</c:v>
                </c:pt>
                <c:pt idx="83">
                  <c:v>0.28484996544787194</c:v>
                </c:pt>
                <c:pt idx="84">
                  <c:v>0.28836482246568595</c:v>
                </c:pt>
                <c:pt idx="85">
                  <c:v>0.29188167794029002</c:v>
                </c:pt>
                <c:pt idx="86">
                  <c:v>0.29540053187168419</c:v>
                </c:pt>
                <c:pt idx="87">
                  <c:v>0.29892138425986858</c:v>
                </c:pt>
                <c:pt idx="88">
                  <c:v>0.30244423510484303</c:v>
                </c:pt>
                <c:pt idx="89">
                  <c:v>0.30596908440660764</c:v>
                </c:pt>
                <c:pt idx="90">
                  <c:v>0.3094959321651623</c:v>
                </c:pt>
                <c:pt idx="91">
                  <c:v>0.31302477838050713</c:v>
                </c:pt>
                <c:pt idx="92">
                  <c:v>0.31655562305264207</c:v>
                </c:pt>
                <c:pt idx="93">
                  <c:v>0.32008846618156711</c:v>
                </c:pt>
                <c:pt idx="94">
                  <c:v>0.32362330776728232</c:v>
                </c:pt>
                <c:pt idx="95">
                  <c:v>0.32716014780978764</c:v>
                </c:pt>
                <c:pt idx="96">
                  <c:v>0.33069898630908307</c:v>
                </c:pt>
                <c:pt idx="97">
                  <c:v>0.33423982326516866</c:v>
                </c:pt>
                <c:pt idx="98">
                  <c:v>0.33778265867804436</c:v>
                </c:pt>
                <c:pt idx="99">
                  <c:v>0.34132749254771017</c:v>
                </c:pt>
                <c:pt idx="100">
                  <c:v>0.34487432487416614</c:v>
                </c:pt>
                <c:pt idx="101">
                  <c:v>0.34842315565741222</c:v>
                </c:pt>
                <c:pt idx="102">
                  <c:v>0.35197398489744836</c:v>
                </c:pt>
                <c:pt idx="103">
                  <c:v>0.35552681259427471</c:v>
                </c:pt>
                <c:pt idx="104">
                  <c:v>0.35908163874789112</c:v>
                </c:pt>
                <c:pt idx="105">
                  <c:v>0.36263846335829764</c:v>
                </c:pt>
                <c:pt idx="106">
                  <c:v>0.36619728642549437</c:v>
                </c:pt>
                <c:pt idx="107">
                  <c:v>0.36975810794948122</c:v>
                </c:pt>
                <c:pt idx="108">
                  <c:v>0.37332092793025806</c:v>
                </c:pt>
                <c:pt idx="109">
                  <c:v>0.37688574636782507</c:v>
                </c:pt>
                <c:pt idx="110">
                  <c:v>0.38045256326218235</c:v>
                </c:pt>
                <c:pt idx="111">
                  <c:v>0.38402137861332958</c:v>
                </c:pt>
                <c:pt idx="112">
                  <c:v>0.38759219242126691</c:v>
                </c:pt>
                <c:pt idx="113">
                  <c:v>0.39116500468599458</c:v>
                </c:pt>
                <c:pt idx="114">
                  <c:v>0.39473981540751213</c:v>
                </c:pt>
                <c:pt idx="115">
                  <c:v>0.39831662458581996</c:v>
                </c:pt>
                <c:pt idx="116">
                  <c:v>0.40189543222091784</c:v>
                </c:pt>
                <c:pt idx="117">
                  <c:v>0.40547623831280594</c:v>
                </c:pt>
                <c:pt idx="118">
                  <c:v>0.40905904286148409</c:v>
                </c:pt>
                <c:pt idx="119">
                  <c:v>0.41264384586695235</c:v>
                </c:pt>
                <c:pt idx="120">
                  <c:v>0.41623064732921089</c:v>
                </c:pt>
                <c:pt idx="121">
                  <c:v>0.41981944724825937</c:v>
                </c:pt>
                <c:pt idx="122">
                  <c:v>0.42341024562409796</c:v>
                </c:pt>
                <c:pt idx="123">
                  <c:v>0.42700304245672682</c:v>
                </c:pt>
                <c:pt idx="124">
                  <c:v>0.43059783774614563</c:v>
                </c:pt>
                <c:pt idx="125">
                  <c:v>0.43419463149235465</c:v>
                </c:pt>
                <c:pt idx="126">
                  <c:v>0.43779342369535368</c:v>
                </c:pt>
                <c:pt idx="127">
                  <c:v>0.44139421435514309</c:v>
                </c:pt>
                <c:pt idx="128">
                  <c:v>0.44499700347172244</c:v>
                </c:pt>
                <c:pt idx="129">
                  <c:v>0.44860179104509196</c:v>
                </c:pt>
                <c:pt idx="130">
                  <c:v>0.45220857707525169</c:v>
                </c:pt>
                <c:pt idx="131">
                  <c:v>0.45581736156220148</c:v>
                </c:pt>
                <c:pt idx="132">
                  <c:v>0.45942814450594127</c:v>
                </c:pt>
                <c:pt idx="133">
                  <c:v>0.46304092590647128</c:v>
                </c:pt>
                <c:pt idx="134">
                  <c:v>0.46665570576379145</c:v>
                </c:pt>
                <c:pt idx="135">
                  <c:v>0.47027248407790179</c:v>
                </c:pt>
                <c:pt idx="136">
                  <c:v>0.47389126084880207</c:v>
                </c:pt>
                <c:pt idx="137">
                  <c:v>0.47751203607649262</c:v>
                </c:pt>
                <c:pt idx="138">
                  <c:v>0.48113480976097328</c:v>
                </c:pt>
                <c:pt idx="139">
                  <c:v>0.48475958190224394</c:v>
                </c:pt>
                <c:pt idx="140">
                  <c:v>0.48838635250030493</c:v>
                </c:pt>
                <c:pt idx="141">
                  <c:v>0.49201512155515581</c:v>
                </c:pt>
                <c:pt idx="142">
                  <c:v>0.49564588906679691</c:v>
                </c:pt>
                <c:pt idx="143">
                  <c:v>0.49927865503522817</c:v>
                </c:pt>
                <c:pt idx="144">
                  <c:v>0.50291341946044965</c:v>
                </c:pt>
                <c:pt idx="145">
                  <c:v>0.50655018234246108</c:v>
                </c:pt>
                <c:pt idx="146">
                  <c:v>0.51018894368126266</c:v>
                </c:pt>
                <c:pt idx="147">
                  <c:v>0.51382970347685442</c:v>
                </c:pt>
                <c:pt idx="148">
                  <c:v>0.51747246172923622</c:v>
                </c:pt>
                <c:pt idx="149">
                  <c:v>0.52111721843840819</c:v>
                </c:pt>
                <c:pt idx="150">
                  <c:v>0.52476397360437033</c:v>
                </c:pt>
              </c:numCache>
            </c:numRef>
          </c:yVal>
          <c:smooth val="1"/>
          <c:extLst>
            <c:ext xmlns:c16="http://schemas.microsoft.com/office/drawing/2014/chart" uri="{C3380CC4-5D6E-409C-BE32-E72D297353CC}">
              <c16:uniqueId val="{00000001-D428-476F-9D9B-414A5D21B4D3}"/>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Eff_vs_IOUT!$AN$7:$AN$157</c:f>
              <c:numCache>
                <c:formatCode>General</c:formatCode>
                <c:ptCount val="151"/>
                <c:pt idx="0">
                  <c:v>0.59752000000000005</c:v>
                </c:pt>
                <c:pt idx="1">
                  <c:v>0.59778666666666669</c:v>
                </c:pt>
                <c:pt idx="2">
                  <c:v>0.59805333333333344</c:v>
                </c:pt>
                <c:pt idx="3">
                  <c:v>0.59832000000000007</c:v>
                </c:pt>
                <c:pt idx="4">
                  <c:v>0.59858666666666671</c:v>
                </c:pt>
                <c:pt idx="5">
                  <c:v>0.59885333333333335</c:v>
                </c:pt>
                <c:pt idx="6">
                  <c:v>0.5991200000000001</c:v>
                </c:pt>
                <c:pt idx="7">
                  <c:v>0.59938666666666673</c:v>
                </c:pt>
                <c:pt idx="8">
                  <c:v>0.59965333333333337</c:v>
                </c:pt>
                <c:pt idx="9">
                  <c:v>0.59992000000000001</c:v>
                </c:pt>
                <c:pt idx="10">
                  <c:v>0.60018666666666676</c:v>
                </c:pt>
                <c:pt idx="11">
                  <c:v>0.60045333333333339</c:v>
                </c:pt>
                <c:pt idx="12">
                  <c:v>0.60072000000000003</c:v>
                </c:pt>
                <c:pt idx="13">
                  <c:v>0.60098666666666667</c:v>
                </c:pt>
                <c:pt idx="14">
                  <c:v>0.60125333333333342</c:v>
                </c:pt>
                <c:pt idx="15">
                  <c:v>0.60152000000000005</c:v>
                </c:pt>
                <c:pt idx="16">
                  <c:v>0.60178666666666669</c:v>
                </c:pt>
                <c:pt idx="17">
                  <c:v>0.60205333333333333</c:v>
                </c:pt>
                <c:pt idx="18">
                  <c:v>0.60232000000000008</c:v>
                </c:pt>
                <c:pt idx="19">
                  <c:v>0.60258666666666671</c:v>
                </c:pt>
                <c:pt idx="20">
                  <c:v>0.60285333333333335</c:v>
                </c:pt>
                <c:pt idx="21">
                  <c:v>0.6031200000000001</c:v>
                </c:pt>
                <c:pt idx="22">
                  <c:v>0.60338666666666674</c:v>
                </c:pt>
                <c:pt idx="23">
                  <c:v>0.60365333333333338</c:v>
                </c:pt>
                <c:pt idx="24">
                  <c:v>0.60392000000000001</c:v>
                </c:pt>
                <c:pt idx="25">
                  <c:v>0.60418666666666676</c:v>
                </c:pt>
                <c:pt idx="26">
                  <c:v>0.6044533333333334</c:v>
                </c:pt>
                <c:pt idx="27">
                  <c:v>0.60472000000000004</c:v>
                </c:pt>
                <c:pt idx="28">
                  <c:v>0.60498666666666667</c:v>
                </c:pt>
                <c:pt idx="29">
                  <c:v>0.60525333333333342</c:v>
                </c:pt>
                <c:pt idx="30">
                  <c:v>0.60552000000000006</c:v>
                </c:pt>
                <c:pt idx="31">
                  <c:v>0.6057866666666667</c:v>
                </c:pt>
                <c:pt idx="32">
                  <c:v>0.60605333333333333</c:v>
                </c:pt>
                <c:pt idx="33">
                  <c:v>0.60632000000000008</c:v>
                </c:pt>
                <c:pt idx="34">
                  <c:v>0.60658666666666672</c:v>
                </c:pt>
                <c:pt idx="35">
                  <c:v>0.60685333333333336</c:v>
                </c:pt>
                <c:pt idx="36">
                  <c:v>0.6071200000000001</c:v>
                </c:pt>
                <c:pt idx="37">
                  <c:v>0.60738666666666674</c:v>
                </c:pt>
                <c:pt idx="38">
                  <c:v>0.60765333333333338</c:v>
                </c:pt>
                <c:pt idx="39">
                  <c:v>0.60792000000000002</c:v>
                </c:pt>
                <c:pt idx="40">
                  <c:v>0.60818666666666676</c:v>
                </c:pt>
                <c:pt idx="41">
                  <c:v>0.6084533333333334</c:v>
                </c:pt>
                <c:pt idx="42">
                  <c:v>0.60872000000000004</c:v>
                </c:pt>
                <c:pt idx="43">
                  <c:v>0.60898666666666668</c:v>
                </c:pt>
                <c:pt idx="44">
                  <c:v>0.60925333333333342</c:v>
                </c:pt>
                <c:pt idx="45">
                  <c:v>0.60952000000000006</c:v>
                </c:pt>
                <c:pt idx="46">
                  <c:v>0.6097866666666667</c:v>
                </c:pt>
                <c:pt idx="47">
                  <c:v>0.61005333333333334</c:v>
                </c:pt>
                <c:pt idx="48">
                  <c:v>0.61032000000000008</c:v>
                </c:pt>
                <c:pt idx="49">
                  <c:v>0.61058666666666672</c:v>
                </c:pt>
                <c:pt idx="50">
                  <c:v>0.61085333333333336</c:v>
                </c:pt>
                <c:pt idx="51">
                  <c:v>0.61112000000000011</c:v>
                </c:pt>
                <c:pt idx="52">
                  <c:v>0.61138666666666674</c:v>
                </c:pt>
                <c:pt idx="53">
                  <c:v>0.61165333333333338</c:v>
                </c:pt>
                <c:pt idx="54">
                  <c:v>0.61192000000000002</c:v>
                </c:pt>
                <c:pt idx="55">
                  <c:v>0.61218666666666677</c:v>
                </c:pt>
                <c:pt idx="56">
                  <c:v>0.61245333333333341</c:v>
                </c:pt>
                <c:pt idx="57">
                  <c:v>0.61272000000000004</c:v>
                </c:pt>
                <c:pt idx="58">
                  <c:v>0.61298666666666668</c:v>
                </c:pt>
                <c:pt idx="59">
                  <c:v>0.61325333333333343</c:v>
                </c:pt>
                <c:pt idx="60">
                  <c:v>0.61352000000000007</c:v>
                </c:pt>
                <c:pt idx="61">
                  <c:v>0.6137866666666667</c:v>
                </c:pt>
                <c:pt idx="62">
                  <c:v>0.61405333333333334</c:v>
                </c:pt>
                <c:pt idx="63">
                  <c:v>0.61432000000000009</c:v>
                </c:pt>
                <c:pt idx="64">
                  <c:v>0.61458666666666673</c:v>
                </c:pt>
                <c:pt idx="65">
                  <c:v>0.61485333333333336</c:v>
                </c:pt>
                <c:pt idx="66">
                  <c:v>0.61512</c:v>
                </c:pt>
                <c:pt idx="67">
                  <c:v>0.61538666666666675</c:v>
                </c:pt>
                <c:pt idx="68">
                  <c:v>0.61565333333333339</c:v>
                </c:pt>
                <c:pt idx="69">
                  <c:v>0.61592000000000002</c:v>
                </c:pt>
                <c:pt idx="70">
                  <c:v>0.61618666666666677</c:v>
                </c:pt>
                <c:pt idx="71">
                  <c:v>0.61645333333333341</c:v>
                </c:pt>
                <c:pt idx="72">
                  <c:v>0.61672000000000005</c:v>
                </c:pt>
                <c:pt idx="73">
                  <c:v>0.61698666666666668</c:v>
                </c:pt>
                <c:pt idx="74">
                  <c:v>0.61725333333333343</c:v>
                </c:pt>
                <c:pt idx="75">
                  <c:v>0.61752000000000007</c:v>
                </c:pt>
                <c:pt idx="76">
                  <c:v>0.61778666666666671</c:v>
                </c:pt>
                <c:pt idx="77">
                  <c:v>0.61805333333333334</c:v>
                </c:pt>
                <c:pt idx="78">
                  <c:v>0.61832000000000009</c:v>
                </c:pt>
                <c:pt idx="79">
                  <c:v>0.61858666666666673</c:v>
                </c:pt>
                <c:pt idx="80">
                  <c:v>0.61885333333333337</c:v>
                </c:pt>
                <c:pt idx="81">
                  <c:v>0.61912</c:v>
                </c:pt>
                <c:pt idx="82">
                  <c:v>0.61938666666666675</c:v>
                </c:pt>
                <c:pt idx="83">
                  <c:v>0.61965333333333339</c:v>
                </c:pt>
                <c:pt idx="84">
                  <c:v>0.61992000000000003</c:v>
                </c:pt>
                <c:pt idx="85">
                  <c:v>0.62018666666666666</c:v>
                </c:pt>
                <c:pt idx="86">
                  <c:v>0.62045333333333341</c:v>
                </c:pt>
                <c:pt idx="87">
                  <c:v>0.62072000000000005</c:v>
                </c:pt>
                <c:pt idx="88">
                  <c:v>0.62098666666666669</c:v>
                </c:pt>
                <c:pt idx="89">
                  <c:v>0.62125333333333344</c:v>
                </c:pt>
                <c:pt idx="90">
                  <c:v>0.62152000000000007</c:v>
                </c:pt>
                <c:pt idx="91">
                  <c:v>0.62178666666666671</c:v>
                </c:pt>
                <c:pt idx="92">
                  <c:v>0.62205333333333335</c:v>
                </c:pt>
                <c:pt idx="93">
                  <c:v>0.6223200000000001</c:v>
                </c:pt>
                <c:pt idx="94">
                  <c:v>0.62258666666666673</c:v>
                </c:pt>
                <c:pt idx="95">
                  <c:v>0.62285333333333337</c:v>
                </c:pt>
                <c:pt idx="96">
                  <c:v>0.62312000000000001</c:v>
                </c:pt>
                <c:pt idx="97">
                  <c:v>0.62338666666666676</c:v>
                </c:pt>
                <c:pt idx="98">
                  <c:v>0.62365333333333339</c:v>
                </c:pt>
                <c:pt idx="99">
                  <c:v>0.62392000000000003</c:v>
                </c:pt>
                <c:pt idx="100">
                  <c:v>0.62418666666666667</c:v>
                </c:pt>
                <c:pt idx="101">
                  <c:v>0.62445333333333342</c:v>
                </c:pt>
                <c:pt idx="102">
                  <c:v>0.62472000000000005</c:v>
                </c:pt>
                <c:pt idx="103">
                  <c:v>0.62498666666666669</c:v>
                </c:pt>
                <c:pt idx="104">
                  <c:v>0.62525333333333344</c:v>
                </c:pt>
                <c:pt idx="105">
                  <c:v>0.62552000000000008</c:v>
                </c:pt>
                <c:pt idx="106">
                  <c:v>0.62578666666666671</c:v>
                </c:pt>
                <c:pt idx="107">
                  <c:v>0.62605333333333335</c:v>
                </c:pt>
                <c:pt idx="108">
                  <c:v>0.6263200000000001</c:v>
                </c:pt>
                <c:pt idx="109">
                  <c:v>0.62658666666666674</c:v>
                </c:pt>
                <c:pt idx="110">
                  <c:v>0.62685333333333337</c:v>
                </c:pt>
                <c:pt idx="111">
                  <c:v>0.62712000000000001</c:v>
                </c:pt>
                <c:pt idx="112">
                  <c:v>0.62738666666666676</c:v>
                </c:pt>
                <c:pt idx="113">
                  <c:v>0.6276533333333334</c:v>
                </c:pt>
                <c:pt idx="114">
                  <c:v>0.62792000000000003</c:v>
                </c:pt>
                <c:pt idx="115">
                  <c:v>0.62818666666666667</c:v>
                </c:pt>
                <c:pt idx="116">
                  <c:v>0.62845333333333342</c:v>
                </c:pt>
                <c:pt idx="117">
                  <c:v>0.62872000000000006</c:v>
                </c:pt>
                <c:pt idx="118">
                  <c:v>0.62898666666666669</c:v>
                </c:pt>
                <c:pt idx="119">
                  <c:v>0.62925333333333344</c:v>
                </c:pt>
                <c:pt idx="120">
                  <c:v>0.62952000000000008</c:v>
                </c:pt>
                <c:pt idx="121">
                  <c:v>0.62978666666666672</c:v>
                </c:pt>
                <c:pt idx="122">
                  <c:v>0.63005333333333335</c:v>
                </c:pt>
                <c:pt idx="123">
                  <c:v>0.6303200000000001</c:v>
                </c:pt>
                <c:pt idx="124">
                  <c:v>0.63058666666666674</c:v>
                </c:pt>
                <c:pt idx="125">
                  <c:v>0.63085333333333338</c:v>
                </c:pt>
                <c:pt idx="126">
                  <c:v>0.63112000000000001</c:v>
                </c:pt>
                <c:pt idx="127">
                  <c:v>0.63138666666666676</c:v>
                </c:pt>
                <c:pt idx="128">
                  <c:v>0.6316533333333334</c:v>
                </c:pt>
                <c:pt idx="129">
                  <c:v>0.63192000000000004</c:v>
                </c:pt>
                <c:pt idx="130">
                  <c:v>0.63218666666666667</c:v>
                </c:pt>
                <c:pt idx="131">
                  <c:v>0.63245333333333342</c:v>
                </c:pt>
                <c:pt idx="132">
                  <c:v>0.63272000000000006</c:v>
                </c:pt>
                <c:pt idx="133">
                  <c:v>0.6329866666666667</c:v>
                </c:pt>
                <c:pt idx="134">
                  <c:v>0.63325333333333345</c:v>
                </c:pt>
                <c:pt idx="135">
                  <c:v>0.63352000000000008</c:v>
                </c:pt>
                <c:pt idx="136">
                  <c:v>0.63378666666666672</c:v>
                </c:pt>
                <c:pt idx="137">
                  <c:v>0.63405333333333336</c:v>
                </c:pt>
                <c:pt idx="138">
                  <c:v>0.63432000000000011</c:v>
                </c:pt>
                <c:pt idx="139">
                  <c:v>0.63458666666666674</c:v>
                </c:pt>
                <c:pt idx="140">
                  <c:v>0.63485333333333338</c:v>
                </c:pt>
                <c:pt idx="141">
                  <c:v>0.63512000000000002</c:v>
                </c:pt>
                <c:pt idx="142">
                  <c:v>0.63538666666666677</c:v>
                </c:pt>
                <c:pt idx="143">
                  <c:v>0.6356533333333334</c:v>
                </c:pt>
                <c:pt idx="144">
                  <c:v>0.63592000000000004</c:v>
                </c:pt>
                <c:pt idx="145">
                  <c:v>0.63618666666666668</c:v>
                </c:pt>
                <c:pt idx="146">
                  <c:v>0.63645333333333343</c:v>
                </c:pt>
                <c:pt idx="147">
                  <c:v>0.63672000000000006</c:v>
                </c:pt>
                <c:pt idx="148">
                  <c:v>0.6369866666666667</c:v>
                </c:pt>
                <c:pt idx="149">
                  <c:v>0.63725333333333345</c:v>
                </c:pt>
                <c:pt idx="150">
                  <c:v>0.63752000000000009</c:v>
                </c:pt>
              </c:numCache>
            </c:numRef>
          </c:yVal>
          <c:smooth val="1"/>
          <c:extLst>
            <c:ext xmlns:c16="http://schemas.microsoft.com/office/drawing/2014/chart" uri="{C3380CC4-5D6E-409C-BE32-E72D297353CC}">
              <c16:uniqueId val="{00000002-D428-476F-9D9B-414A5D21B4D3}"/>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3.3333333333333338E-4</c:v>
                </c:pt>
                <c:pt idx="2">
                  <c:v>6.6666666666666675E-4</c:v>
                </c:pt>
                <c:pt idx="3">
                  <c:v>1E-3</c:v>
                </c:pt>
                <c:pt idx="4">
                  <c:v>1.3333333333333335E-3</c:v>
                </c:pt>
                <c:pt idx="5">
                  <c:v>1.666666666666667E-3</c:v>
                </c:pt>
                <c:pt idx="6">
                  <c:v>2E-3</c:v>
                </c:pt>
                <c:pt idx="7">
                  <c:v>2.3333333333333335E-3</c:v>
                </c:pt>
                <c:pt idx="8">
                  <c:v>2.666666666666667E-3</c:v>
                </c:pt>
                <c:pt idx="9">
                  <c:v>3.0000000000000005E-3</c:v>
                </c:pt>
                <c:pt idx="10">
                  <c:v>3.333333333333334E-3</c:v>
                </c:pt>
                <c:pt idx="11">
                  <c:v>3.666666666666667E-3</c:v>
                </c:pt>
                <c:pt idx="12">
                  <c:v>4.0000000000000001E-3</c:v>
                </c:pt>
                <c:pt idx="13">
                  <c:v>4.333333333333334E-3</c:v>
                </c:pt>
                <c:pt idx="14">
                  <c:v>4.6666666666666671E-3</c:v>
                </c:pt>
                <c:pt idx="15">
                  <c:v>5.000000000000001E-3</c:v>
                </c:pt>
                <c:pt idx="16">
                  <c:v>5.333333333333334E-3</c:v>
                </c:pt>
                <c:pt idx="17">
                  <c:v>5.6666666666666671E-3</c:v>
                </c:pt>
                <c:pt idx="18">
                  <c:v>6.000000000000001E-3</c:v>
                </c:pt>
                <c:pt idx="19">
                  <c:v>6.333333333333334E-3</c:v>
                </c:pt>
                <c:pt idx="20">
                  <c:v>6.666666666666668E-3</c:v>
                </c:pt>
                <c:pt idx="21">
                  <c:v>7.000000000000001E-3</c:v>
                </c:pt>
                <c:pt idx="22">
                  <c:v>7.3333333333333341E-3</c:v>
                </c:pt>
                <c:pt idx="23">
                  <c:v>7.666666666666668E-3</c:v>
                </c:pt>
                <c:pt idx="24">
                  <c:v>8.0000000000000002E-3</c:v>
                </c:pt>
                <c:pt idx="25">
                  <c:v>8.333333333333335E-3</c:v>
                </c:pt>
                <c:pt idx="26">
                  <c:v>8.666666666666668E-3</c:v>
                </c:pt>
                <c:pt idx="27">
                  <c:v>9.0000000000000011E-3</c:v>
                </c:pt>
                <c:pt idx="28">
                  <c:v>9.3333333333333341E-3</c:v>
                </c:pt>
                <c:pt idx="29">
                  <c:v>9.6666666666666672E-3</c:v>
                </c:pt>
                <c:pt idx="30">
                  <c:v>1.0000000000000002E-2</c:v>
                </c:pt>
                <c:pt idx="31">
                  <c:v>1.0333333333333335E-2</c:v>
                </c:pt>
                <c:pt idx="32">
                  <c:v>1.0666666666666668E-2</c:v>
                </c:pt>
                <c:pt idx="33">
                  <c:v>1.1000000000000001E-2</c:v>
                </c:pt>
                <c:pt idx="34">
                  <c:v>1.1333333333333334E-2</c:v>
                </c:pt>
                <c:pt idx="35">
                  <c:v>1.1666666666666669E-2</c:v>
                </c:pt>
                <c:pt idx="36">
                  <c:v>1.2000000000000002E-2</c:v>
                </c:pt>
                <c:pt idx="37">
                  <c:v>1.2333333333333335E-2</c:v>
                </c:pt>
                <c:pt idx="38">
                  <c:v>1.2666666666666668E-2</c:v>
                </c:pt>
                <c:pt idx="39">
                  <c:v>1.3000000000000001E-2</c:v>
                </c:pt>
                <c:pt idx="40">
                  <c:v>1.3333333333333336E-2</c:v>
                </c:pt>
                <c:pt idx="41">
                  <c:v>1.3666666666666669E-2</c:v>
                </c:pt>
                <c:pt idx="42">
                  <c:v>1.4000000000000002E-2</c:v>
                </c:pt>
                <c:pt idx="43">
                  <c:v>1.4333333333333335E-2</c:v>
                </c:pt>
                <c:pt idx="44">
                  <c:v>1.4666666666666668E-2</c:v>
                </c:pt>
                <c:pt idx="45">
                  <c:v>1.5000000000000001E-2</c:v>
                </c:pt>
                <c:pt idx="46">
                  <c:v>1.5333333333333336E-2</c:v>
                </c:pt>
                <c:pt idx="47">
                  <c:v>1.5666666666666669E-2</c:v>
                </c:pt>
                <c:pt idx="48">
                  <c:v>1.6E-2</c:v>
                </c:pt>
                <c:pt idx="49">
                  <c:v>1.6333333333333335E-2</c:v>
                </c:pt>
                <c:pt idx="50">
                  <c:v>1.666666666666667E-2</c:v>
                </c:pt>
                <c:pt idx="51">
                  <c:v>1.7000000000000001E-2</c:v>
                </c:pt>
                <c:pt idx="52">
                  <c:v>1.7333333333333336E-2</c:v>
                </c:pt>
                <c:pt idx="53">
                  <c:v>1.7666666666666667E-2</c:v>
                </c:pt>
                <c:pt idx="54">
                  <c:v>1.8000000000000002E-2</c:v>
                </c:pt>
                <c:pt idx="55">
                  <c:v>1.8333333333333337E-2</c:v>
                </c:pt>
                <c:pt idx="56">
                  <c:v>1.8666666666666668E-2</c:v>
                </c:pt>
                <c:pt idx="57">
                  <c:v>1.9000000000000003E-2</c:v>
                </c:pt>
                <c:pt idx="58">
                  <c:v>1.9333333333333334E-2</c:v>
                </c:pt>
                <c:pt idx="59">
                  <c:v>1.9666666666666669E-2</c:v>
                </c:pt>
                <c:pt idx="60">
                  <c:v>2.0000000000000004E-2</c:v>
                </c:pt>
                <c:pt idx="61">
                  <c:v>2.0333333333333335E-2</c:v>
                </c:pt>
                <c:pt idx="62">
                  <c:v>2.066666666666667E-2</c:v>
                </c:pt>
                <c:pt idx="63">
                  <c:v>2.1000000000000001E-2</c:v>
                </c:pt>
                <c:pt idx="64">
                  <c:v>2.1333333333333336E-2</c:v>
                </c:pt>
                <c:pt idx="65">
                  <c:v>2.1666666666666671E-2</c:v>
                </c:pt>
                <c:pt idx="66">
                  <c:v>2.2000000000000002E-2</c:v>
                </c:pt>
                <c:pt idx="67">
                  <c:v>2.2333333333333337E-2</c:v>
                </c:pt>
                <c:pt idx="68">
                  <c:v>2.2666666666666668E-2</c:v>
                </c:pt>
                <c:pt idx="69">
                  <c:v>2.3000000000000003E-2</c:v>
                </c:pt>
                <c:pt idx="70">
                  <c:v>2.3333333333333338E-2</c:v>
                </c:pt>
                <c:pt idx="71">
                  <c:v>2.3666666666666669E-2</c:v>
                </c:pt>
                <c:pt idx="72">
                  <c:v>2.4000000000000004E-2</c:v>
                </c:pt>
                <c:pt idx="73">
                  <c:v>2.4333333333333335E-2</c:v>
                </c:pt>
                <c:pt idx="74">
                  <c:v>2.466666666666667E-2</c:v>
                </c:pt>
                <c:pt idx="75">
                  <c:v>2.5000000000000005E-2</c:v>
                </c:pt>
                <c:pt idx="76">
                  <c:v>2.5333333333333336E-2</c:v>
                </c:pt>
                <c:pt idx="77">
                  <c:v>2.5666666666666671E-2</c:v>
                </c:pt>
                <c:pt idx="78">
                  <c:v>2.6000000000000002E-2</c:v>
                </c:pt>
                <c:pt idx="79">
                  <c:v>2.6333333333333337E-2</c:v>
                </c:pt>
                <c:pt idx="80">
                  <c:v>2.6666666666666672E-2</c:v>
                </c:pt>
                <c:pt idx="81">
                  <c:v>2.7000000000000003E-2</c:v>
                </c:pt>
                <c:pt idx="82">
                  <c:v>2.7333333333333338E-2</c:v>
                </c:pt>
                <c:pt idx="83">
                  <c:v>2.7666666666666669E-2</c:v>
                </c:pt>
                <c:pt idx="84">
                  <c:v>2.8000000000000004E-2</c:v>
                </c:pt>
                <c:pt idx="85">
                  <c:v>2.8333333333333335E-2</c:v>
                </c:pt>
                <c:pt idx="86">
                  <c:v>2.866666666666667E-2</c:v>
                </c:pt>
                <c:pt idx="87">
                  <c:v>2.9000000000000005E-2</c:v>
                </c:pt>
                <c:pt idx="88">
                  <c:v>2.9333333333333336E-2</c:v>
                </c:pt>
                <c:pt idx="89">
                  <c:v>2.9666666666666671E-2</c:v>
                </c:pt>
                <c:pt idx="90">
                  <c:v>3.0000000000000002E-2</c:v>
                </c:pt>
                <c:pt idx="91">
                  <c:v>3.0333333333333337E-2</c:v>
                </c:pt>
                <c:pt idx="92">
                  <c:v>3.0666666666666672E-2</c:v>
                </c:pt>
                <c:pt idx="93">
                  <c:v>3.1000000000000003E-2</c:v>
                </c:pt>
                <c:pt idx="94">
                  <c:v>3.1333333333333338E-2</c:v>
                </c:pt>
                <c:pt idx="95">
                  <c:v>3.1666666666666669E-2</c:v>
                </c:pt>
                <c:pt idx="96">
                  <c:v>3.2000000000000001E-2</c:v>
                </c:pt>
                <c:pt idx="97">
                  <c:v>3.2333333333333339E-2</c:v>
                </c:pt>
                <c:pt idx="98">
                  <c:v>3.266666666666667E-2</c:v>
                </c:pt>
                <c:pt idx="99">
                  <c:v>3.3000000000000002E-2</c:v>
                </c:pt>
                <c:pt idx="100">
                  <c:v>3.333333333333334E-2</c:v>
                </c:pt>
                <c:pt idx="101">
                  <c:v>3.3666666666666671E-2</c:v>
                </c:pt>
                <c:pt idx="102">
                  <c:v>3.4000000000000002E-2</c:v>
                </c:pt>
                <c:pt idx="103">
                  <c:v>3.4333333333333341E-2</c:v>
                </c:pt>
                <c:pt idx="104">
                  <c:v>3.4666666666666672E-2</c:v>
                </c:pt>
                <c:pt idx="105">
                  <c:v>3.5000000000000003E-2</c:v>
                </c:pt>
                <c:pt idx="106">
                  <c:v>3.5333333333333335E-2</c:v>
                </c:pt>
                <c:pt idx="107">
                  <c:v>3.5666666666666673E-2</c:v>
                </c:pt>
                <c:pt idx="108">
                  <c:v>3.6000000000000004E-2</c:v>
                </c:pt>
                <c:pt idx="109">
                  <c:v>3.6333333333333336E-2</c:v>
                </c:pt>
                <c:pt idx="110">
                  <c:v>3.6666666666666674E-2</c:v>
                </c:pt>
                <c:pt idx="111">
                  <c:v>3.7000000000000005E-2</c:v>
                </c:pt>
                <c:pt idx="112">
                  <c:v>3.7333333333333336E-2</c:v>
                </c:pt>
                <c:pt idx="113">
                  <c:v>3.7666666666666675E-2</c:v>
                </c:pt>
                <c:pt idx="114">
                  <c:v>3.8000000000000006E-2</c:v>
                </c:pt>
                <c:pt idx="115">
                  <c:v>3.8333333333333337E-2</c:v>
                </c:pt>
                <c:pt idx="116">
                  <c:v>3.8666666666666669E-2</c:v>
                </c:pt>
                <c:pt idx="117">
                  <c:v>3.9000000000000007E-2</c:v>
                </c:pt>
                <c:pt idx="118">
                  <c:v>3.9333333333333338E-2</c:v>
                </c:pt>
                <c:pt idx="119">
                  <c:v>3.966666666666667E-2</c:v>
                </c:pt>
                <c:pt idx="120">
                  <c:v>4.0000000000000008E-2</c:v>
                </c:pt>
                <c:pt idx="121">
                  <c:v>4.0333333333333339E-2</c:v>
                </c:pt>
                <c:pt idx="122">
                  <c:v>4.066666666666667E-2</c:v>
                </c:pt>
                <c:pt idx="123">
                  <c:v>4.1000000000000009E-2</c:v>
                </c:pt>
                <c:pt idx="124">
                  <c:v>4.133333333333334E-2</c:v>
                </c:pt>
                <c:pt idx="125">
                  <c:v>4.1666666666666671E-2</c:v>
                </c:pt>
                <c:pt idx="126">
                  <c:v>4.2000000000000003E-2</c:v>
                </c:pt>
                <c:pt idx="127">
                  <c:v>4.2333333333333341E-2</c:v>
                </c:pt>
                <c:pt idx="128">
                  <c:v>4.2666666666666672E-2</c:v>
                </c:pt>
                <c:pt idx="129">
                  <c:v>4.3000000000000003E-2</c:v>
                </c:pt>
                <c:pt idx="130">
                  <c:v>4.3333333333333342E-2</c:v>
                </c:pt>
                <c:pt idx="131">
                  <c:v>4.3666666666666673E-2</c:v>
                </c:pt>
                <c:pt idx="132">
                  <c:v>4.4000000000000004E-2</c:v>
                </c:pt>
                <c:pt idx="133">
                  <c:v>4.4333333333333336E-2</c:v>
                </c:pt>
                <c:pt idx="134">
                  <c:v>4.4666666666666674E-2</c:v>
                </c:pt>
                <c:pt idx="135">
                  <c:v>4.5000000000000005E-2</c:v>
                </c:pt>
                <c:pt idx="136">
                  <c:v>4.5333333333333337E-2</c:v>
                </c:pt>
                <c:pt idx="137">
                  <c:v>4.5666666666666675E-2</c:v>
                </c:pt>
                <c:pt idx="138">
                  <c:v>4.6000000000000006E-2</c:v>
                </c:pt>
                <c:pt idx="139">
                  <c:v>4.6333333333333337E-2</c:v>
                </c:pt>
                <c:pt idx="140">
                  <c:v>4.6666666666666676E-2</c:v>
                </c:pt>
                <c:pt idx="141">
                  <c:v>4.7000000000000007E-2</c:v>
                </c:pt>
                <c:pt idx="142">
                  <c:v>4.7333333333333338E-2</c:v>
                </c:pt>
                <c:pt idx="143">
                  <c:v>4.766666666666667E-2</c:v>
                </c:pt>
                <c:pt idx="144">
                  <c:v>4.8000000000000008E-2</c:v>
                </c:pt>
                <c:pt idx="145">
                  <c:v>4.8333333333333339E-2</c:v>
                </c:pt>
                <c:pt idx="146">
                  <c:v>4.8666666666666671E-2</c:v>
                </c:pt>
                <c:pt idx="147">
                  <c:v>4.9000000000000009E-2</c:v>
                </c:pt>
                <c:pt idx="148">
                  <c:v>4.933333333333334E-2</c:v>
                </c:pt>
                <c:pt idx="149">
                  <c:v>4.9666666666666671E-2</c:v>
                </c:pt>
                <c:pt idx="150">
                  <c:v>5.000000000000001E-2</c:v>
                </c:pt>
              </c:numCache>
            </c:numRef>
          </c:xVal>
          <c:yVal>
            <c:numRef>
              <c:f>Eff_vs_IOUT!$AO$7:$AO$157</c:f>
              <c:numCache>
                <c:formatCode>General</c:formatCode>
                <c:ptCount val="151"/>
                <c:pt idx="0">
                  <c:v>0</c:v>
                </c:pt>
                <c:pt idx="1">
                  <c:v>1.9396150024411013E-6</c:v>
                </c:pt>
                <c:pt idx="2">
                  <c:v>5.4860596844690561E-6</c:v>
                </c:pt>
                <c:pt idx="3">
                  <c:v>1.0078535194052459E-5</c:v>
                </c:pt>
                <c:pt idx="4">
                  <c:v>1.5516920019528814E-5</c:v>
                </c:pt>
                <c:pt idx="5">
                  <c:v>2.1685554978183611E-5</c:v>
                </c:pt>
                <c:pt idx="6">
                  <c:v>2.850640232056708E-5</c:v>
                </c:pt>
                <c:pt idx="7">
                  <c:v>3.5922172549683647E-5</c:v>
                </c:pt>
                <c:pt idx="8">
                  <c:v>4.3888477475752462E-5</c:v>
                </c:pt>
                <c:pt idx="9">
                  <c:v>5.2369605065909742E-5</c:v>
                </c:pt>
                <c:pt idx="10">
                  <c:v>6.1336011915469286E-5</c:v>
                </c:pt>
                <c:pt idx="11">
                  <c:v>7.0762727209255485E-5</c:v>
                </c:pt>
                <c:pt idx="12">
                  <c:v>8.0628281552419658E-5</c:v>
                </c:pt>
                <c:pt idx="13">
                  <c:v>9.0913957497487847E-5</c:v>
                </c:pt>
                <c:pt idx="14">
                  <c:v>1.0160324721933819E-4</c:v>
                </c:pt>
                <c:pt idx="15">
                  <c:v>1.1268144903762666E-4</c:v>
                </c:pt>
                <c:pt idx="16">
                  <c:v>1.2413536015623049E-4</c:v>
                </c:pt>
                <c:pt idx="17">
                  <c:v>1.359530379776543E-4</c:v>
                </c:pt>
                <c:pt idx="18">
                  <c:v>1.7451571700719763E-4</c:v>
                </c:pt>
                <c:pt idx="19">
                  <c:v>1.90360624414605E-4</c:v>
                </c:pt>
                <c:pt idx="20">
                  <c:v>2.0706201330349382E-4</c:v>
                </c:pt>
                <c:pt idx="21">
                  <c:v>2.2461988367386413E-4</c:v>
                </c:pt>
                <c:pt idx="22">
                  <c:v>2.4303423552571616E-4</c:v>
                </c:pt>
                <c:pt idx="23">
                  <c:v>2.6230506885904949E-4</c:v>
                </c:pt>
                <c:pt idx="24">
                  <c:v>2.8243238367386411E-4</c:v>
                </c:pt>
                <c:pt idx="25">
                  <c:v>3.0341617997016061E-4</c:v>
                </c:pt>
                <c:pt idx="26">
                  <c:v>3.2525645774793835E-4</c:v>
                </c:pt>
                <c:pt idx="27">
                  <c:v>3.4795321700719755E-4</c:v>
                </c:pt>
                <c:pt idx="28">
                  <c:v>3.715064577479382E-4</c:v>
                </c:pt>
                <c:pt idx="29">
                  <c:v>3.9591617997016053E-4</c:v>
                </c:pt>
                <c:pt idx="30">
                  <c:v>4.2118238367386431E-4</c:v>
                </c:pt>
                <c:pt idx="31">
                  <c:v>4.4730506885904949E-4</c:v>
                </c:pt>
                <c:pt idx="32">
                  <c:v>4.7428423552571601E-4</c:v>
                </c:pt>
                <c:pt idx="33">
                  <c:v>5.0211988367386453E-4</c:v>
                </c:pt>
                <c:pt idx="34">
                  <c:v>5.308120133034938E-4</c:v>
                </c:pt>
                <c:pt idx="35">
                  <c:v>5.6036062441460518E-4</c:v>
                </c:pt>
                <c:pt idx="36">
                  <c:v>5.907657170071979E-4</c:v>
                </c:pt>
                <c:pt idx="37">
                  <c:v>6.2202729108127176E-4</c:v>
                </c:pt>
                <c:pt idx="38">
                  <c:v>6.5414534663682706E-4</c:v>
                </c:pt>
                <c:pt idx="39">
                  <c:v>6.8711988367386404E-4</c:v>
                </c:pt>
                <c:pt idx="40">
                  <c:v>7.2095090219238313E-4</c:v>
                </c:pt>
                <c:pt idx="41">
                  <c:v>7.5563840219238301E-4</c:v>
                </c:pt>
                <c:pt idx="42">
                  <c:v>7.9118238367386414E-4</c:v>
                </c:pt>
                <c:pt idx="43">
                  <c:v>8.2758284663682694E-4</c:v>
                </c:pt>
                <c:pt idx="44">
                  <c:v>8.6483979108127216E-4</c:v>
                </c:pt>
                <c:pt idx="45">
                  <c:v>9.0295321700719787E-4</c:v>
                </c:pt>
                <c:pt idx="46">
                  <c:v>9.4192312441460492E-4</c:v>
                </c:pt>
                <c:pt idx="47">
                  <c:v>9.8174951330349397E-4</c:v>
                </c:pt>
                <c:pt idx="48">
                  <c:v>1.0224323836738646E-3</c:v>
                </c:pt>
                <c:pt idx="49">
                  <c:v>1.0639717355257164E-3</c:v>
                </c:pt>
                <c:pt idx="50">
                  <c:v>1.1063675688590502E-3</c:v>
                </c:pt>
                <c:pt idx="51">
                  <c:v>1.1496198836738645E-3</c:v>
                </c:pt>
                <c:pt idx="52">
                  <c:v>1.1937286799701607E-3</c:v>
                </c:pt>
                <c:pt idx="53">
                  <c:v>1.2386939577479388E-3</c:v>
                </c:pt>
                <c:pt idx="54">
                  <c:v>1.2845157170071975E-3</c:v>
                </c:pt>
                <c:pt idx="55">
                  <c:v>1.3311939577479385E-3</c:v>
                </c:pt>
                <c:pt idx="56">
                  <c:v>1.3787286799701601E-3</c:v>
                </c:pt>
                <c:pt idx="57">
                  <c:v>1.427119883673864E-3</c:v>
                </c:pt>
                <c:pt idx="58">
                  <c:v>1.4763675688590492E-3</c:v>
                </c:pt>
                <c:pt idx="59">
                  <c:v>1.5264717355257162E-3</c:v>
                </c:pt>
                <c:pt idx="60">
                  <c:v>1.5774323836738652E-3</c:v>
                </c:pt>
                <c:pt idx="61">
                  <c:v>1.6292495133034938E-3</c:v>
                </c:pt>
                <c:pt idx="62">
                  <c:v>1.6819231244146055E-3</c:v>
                </c:pt>
                <c:pt idx="63">
                  <c:v>1.7354532170071972E-3</c:v>
                </c:pt>
                <c:pt idx="64">
                  <c:v>1.7898397910812718E-3</c:v>
                </c:pt>
                <c:pt idx="65">
                  <c:v>1.8450828466368275E-3</c:v>
                </c:pt>
                <c:pt idx="66">
                  <c:v>1.9011823836738639E-3</c:v>
                </c:pt>
                <c:pt idx="67">
                  <c:v>1.958138402192383E-3</c:v>
                </c:pt>
                <c:pt idx="68">
                  <c:v>2.0159509021923832E-3</c:v>
                </c:pt>
                <c:pt idx="69">
                  <c:v>2.0746198836738643E-3</c:v>
                </c:pt>
                <c:pt idx="70">
                  <c:v>2.1341453466368278E-3</c:v>
                </c:pt>
                <c:pt idx="71">
                  <c:v>2.1945272910812719E-3</c:v>
                </c:pt>
                <c:pt idx="72">
                  <c:v>2.2557657170071987E-3</c:v>
                </c:pt>
                <c:pt idx="73">
                  <c:v>2.3178606244146044E-3</c:v>
                </c:pt>
                <c:pt idx="74">
                  <c:v>2.3808120133034932E-3</c:v>
                </c:pt>
                <c:pt idx="75">
                  <c:v>2.4446198836738644E-3</c:v>
                </c:pt>
                <c:pt idx="76">
                  <c:v>2.5092842355257162E-3</c:v>
                </c:pt>
                <c:pt idx="77">
                  <c:v>2.5748050688590494E-3</c:v>
                </c:pt>
                <c:pt idx="78">
                  <c:v>2.6411823836738645E-3</c:v>
                </c:pt>
                <c:pt idx="79">
                  <c:v>2.7084161799701607E-3</c:v>
                </c:pt>
                <c:pt idx="80">
                  <c:v>2.7765064577479391E-3</c:v>
                </c:pt>
                <c:pt idx="81">
                  <c:v>2.8454532170071978E-3</c:v>
                </c:pt>
                <c:pt idx="82">
                  <c:v>2.9152564577479396E-3</c:v>
                </c:pt>
                <c:pt idx="83">
                  <c:v>2.9859161799701607E-3</c:v>
                </c:pt>
                <c:pt idx="84">
                  <c:v>3.0574323836738654E-3</c:v>
                </c:pt>
                <c:pt idx="85">
                  <c:v>3.1298050688590502E-3</c:v>
                </c:pt>
                <c:pt idx="86">
                  <c:v>3.2030342355257166E-3</c:v>
                </c:pt>
                <c:pt idx="87">
                  <c:v>3.2771198836738656E-3</c:v>
                </c:pt>
                <c:pt idx="88">
                  <c:v>3.3520620133034953E-3</c:v>
                </c:pt>
                <c:pt idx="89">
                  <c:v>3.4278606244146068E-3</c:v>
                </c:pt>
                <c:pt idx="90">
                  <c:v>3.5045157170071986E-3</c:v>
                </c:pt>
                <c:pt idx="91">
                  <c:v>3.5820272910812717E-3</c:v>
                </c:pt>
                <c:pt idx="92">
                  <c:v>3.6603953466368272E-3</c:v>
                </c:pt>
                <c:pt idx="93">
                  <c:v>3.739619883673865E-3</c:v>
                </c:pt>
                <c:pt idx="94">
                  <c:v>3.8197009021923825E-3</c:v>
                </c:pt>
                <c:pt idx="95">
                  <c:v>3.9006384021923824E-3</c:v>
                </c:pt>
                <c:pt idx="96">
                  <c:v>3.9824323836738654E-3</c:v>
                </c:pt>
                <c:pt idx="97">
                  <c:v>4.0650828466368286E-3</c:v>
                </c:pt>
                <c:pt idx="98">
                  <c:v>4.1485897910812719E-3</c:v>
                </c:pt>
                <c:pt idx="99">
                  <c:v>4.232953217007198E-3</c:v>
                </c:pt>
                <c:pt idx="100">
                  <c:v>4.318173124414606E-3</c:v>
                </c:pt>
                <c:pt idx="101">
                  <c:v>4.404249513303495E-3</c:v>
                </c:pt>
                <c:pt idx="102">
                  <c:v>4.4911823836738651E-3</c:v>
                </c:pt>
                <c:pt idx="103">
                  <c:v>4.5789717355257161E-3</c:v>
                </c:pt>
                <c:pt idx="104">
                  <c:v>4.6676175688590482E-3</c:v>
                </c:pt>
                <c:pt idx="105">
                  <c:v>4.757119883673863E-3</c:v>
                </c:pt>
                <c:pt idx="106">
                  <c:v>4.8474786799701597E-3</c:v>
                </c:pt>
                <c:pt idx="107">
                  <c:v>4.9386939577479392E-3</c:v>
                </c:pt>
                <c:pt idx="108">
                  <c:v>5.0307657170071979E-3</c:v>
                </c:pt>
                <c:pt idx="109">
                  <c:v>5.1236939577479377E-3</c:v>
                </c:pt>
                <c:pt idx="110">
                  <c:v>5.217478679970162E-3</c:v>
                </c:pt>
                <c:pt idx="111">
                  <c:v>5.3121198836738655E-3</c:v>
                </c:pt>
                <c:pt idx="112">
                  <c:v>5.4076175688590475E-3</c:v>
                </c:pt>
                <c:pt idx="113">
                  <c:v>5.5039717355257166E-3</c:v>
                </c:pt>
                <c:pt idx="114">
                  <c:v>5.6011823836738632E-3</c:v>
                </c:pt>
                <c:pt idx="115">
                  <c:v>5.6992495133034934E-3</c:v>
                </c:pt>
                <c:pt idx="116">
                  <c:v>5.7981731244146056E-3</c:v>
                </c:pt>
                <c:pt idx="117">
                  <c:v>5.8979532170071979E-3</c:v>
                </c:pt>
                <c:pt idx="118">
                  <c:v>5.9985897910812712E-3</c:v>
                </c:pt>
                <c:pt idx="119">
                  <c:v>6.1000828466368246E-3</c:v>
                </c:pt>
                <c:pt idx="120">
                  <c:v>6.202432383673866E-3</c:v>
                </c:pt>
                <c:pt idx="121">
                  <c:v>6.3056384021923841E-3</c:v>
                </c:pt>
                <c:pt idx="122">
                  <c:v>6.4097009021923806E-3</c:v>
                </c:pt>
                <c:pt idx="123">
                  <c:v>6.5146198836738651E-3</c:v>
                </c:pt>
                <c:pt idx="124">
                  <c:v>6.6203953466368254E-3</c:v>
                </c:pt>
                <c:pt idx="125">
                  <c:v>6.7270272910812711E-3</c:v>
                </c:pt>
                <c:pt idx="126">
                  <c:v>6.8345157170071934E-3</c:v>
                </c:pt>
                <c:pt idx="127">
                  <c:v>6.9428606244146028E-3</c:v>
                </c:pt>
                <c:pt idx="128">
                  <c:v>7.0520620133034907E-3</c:v>
                </c:pt>
                <c:pt idx="129">
                  <c:v>7.1621198836738622E-3</c:v>
                </c:pt>
                <c:pt idx="130">
                  <c:v>7.2730342355257155E-3</c:v>
                </c:pt>
                <c:pt idx="131">
                  <c:v>7.3848050688590482E-3</c:v>
                </c:pt>
                <c:pt idx="132">
                  <c:v>7.4974323836738644E-3</c:v>
                </c:pt>
                <c:pt idx="133">
                  <c:v>7.6109161799701609E-3</c:v>
                </c:pt>
                <c:pt idx="134">
                  <c:v>7.7252564577479366E-3</c:v>
                </c:pt>
                <c:pt idx="135">
                  <c:v>7.8404532170071994E-3</c:v>
                </c:pt>
                <c:pt idx="136">
                  <c:v>7.9565064577479354E-3</c:v>
                </c:pt>
                <c:pt idx="137">
                  <c:v>8.0734161799701602E-3</c:v>
                </c:pt>
                <c:pt idx="138">
                  <c:v>8.1911823836738652E-3</c:v>
                </c:pt>
                <c:pt idx="139">
                  <c:v>8.3098050688590486E-3</c:v>
                </c:pt>
                <c:pt idx="140">
                  <c:v>8.4292842355257191E-3</c:v>
                </c:pt>
                <c:pt idx="141">
                  <c:v>8.5496198836738629E-3</c:v>
                </c:pt>
                <c:pt idx="142">
                  <c:v>8.670812013303492E-3</c:v>
                </c:pt>
                <c:pt idx="143">
                  <c:v>8.7928606244146047E-3</c:v>
                </c:pt>
                <c:pt idx="144">
                  <c:v>8.9157657170071958E-3</c:v>
                </c:pt>
                <c:pt idx="145">
                  <c:v>9.0395272910812688E-3</c:v>
                </c:pt>
                <c:pt idx="146">
                  <c:v>9.1641453466368202E-3</c:v>
                </c:pt>
                <c:pt idx="147">
                  <c:v>9.2896198836738639E-3</c:v>
                </c:pt>
                <c:pt idx="148">
                  <c:v>9.4159509021923809E-3</c:v>
                </c:pt>
                <c:pt idx="149">
                  <c:v>9.5431384021923815E-3</c:v>
                </c:pt>
                <c:pt idx="150">
                  <c:v>9.6711823836738622E-3</c:v>
                </c:pt>
              </c:numCache>
            </c:numRef>
          </c:yVal>
          <c:smooth val="1"/>
          <c:extLst>
            <c:ext xmlns:c16="http://schemas.microsoft.com/office/drawing/2014/chart" uri="{C3380CC4-5D6E-409C-BE32-E72D297353CC}">
              <c16:uniqueId val="{00000003-D428-476F-9D9B-414A5D21B4D3}"/>
            </c:ext>
          </c:extLst>
        </c:ser>
        <c:dLbls>
          <c:showLegendKey val="0"/>
          <c:showVal val="0"/>
          <c:showCatName val="0"/>
          <c:showSerName val="0"/>
          <c:showPercent val="0"/>
          <c:showBubbleSize val="0"/>
        </c:dLbls>
        <c:axId val="162552448"/>
        <c:axId val="162550528"/>
      </c:scatterChart>
      <c:valAx>
        <c:axId val="161084544"/>
        <c:scaling>
          <c:orientation val="minMax"/>
        </c:scaling>
        <c:delete val="0"/>
        <c:axPos val="b"/>
        <c:majorGridlines/>
        <c:numFmt formatCode="General" sourceLinked="1"/>
        <c:majorTickMark val="out"/>
        <c:minorTickMark val="none"/>
        <c:tickLblPos val="nextTo"/>
        <c:crossAx val="161086080"/>
        <c:crosses val="autoZero"/>
        <c:crossBetween val="midCat"/>
      </c:valAx>
      <c:valAx>
        <c:axId val="16108608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61084544"/>
        <c:crosses val="autoZero"/>
        <c:crossBetween val="midCat"/>
      </c:valAx>
      <c:valAx>
        <c:axId val="16255052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62552448"/>
        <c:crosses val="max"/>
        <c:crossBetween val="midCat"/>
      </c:valAx>
      <c:valAx>
        <c:axId val="16255244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162550528"/>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6" fmlaRange="$1:$1048576" noThreeD="1" sel="0" val="0"/>
</file>

<file path=xl/ctrlProps/ctrlProp2.xml><?xml version="1.0" encoding="utf-8"?>
<formControlPr xmlns="http://schemas.microsoft.com/office/spreadsheetml/2009/9/main" objectType="Spin" dx="20" fmlaLink="$H$8" max="45" noThreeD="1" page="10" val="24"/>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4.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1.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590550</xdr:colOff>
          <xdr:row>30</xdr:row>
          <xdr:rowOff>85725</xdr:rowOff>
        </xdr:from>
        <xdr:to>
          <xdr:col>16</xdr:col>
          <xdr:colOff>219075</xdr:colOff>
          <xdr:row>31</xdr:row>
          <xdr:rowOff>114300</xdr:rowOff>
        </xdr:to>
        <xdr:sp macro="" textlink="">
          <xdr:nvSpPr>
            <xdr:cNvPr id="1170" name="Drop Down 146" descr="This is just there to fix the excel issue with comments and linked pictures"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9</xdr:col>
      <xdr:colOff>22860</xdr:colOff>
      <xdr:row>50</xdr:row>
      <xdr:rowOff>1</xdr:rowOff>
    </xdr:from>
    <xdr:to>
      <xdr:col>25</xdr:col>
      <xdr:colOff>598714</xdr:colOff>
      <xdr:row>71</xdr:row>
      <xdr:rowOff>175261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22861</xdr:colOff>
      <xdr:row>74</xdr:row>
      <xdr:rowOff>7620</xdr:rowOff>
    </xdr:from>
    <xdr:to>
      <xdr:col>25</xdr:col>
      <xdr:colOff>600637</xdr:colOff>
      <xdr:row>98</xdr:row>
      <xdr:rowOff>163286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504825</xdr:colOff>
          <xdr:row>56</xdr:row>
          <xdr:rowOff>0</xdr:rowOff>
        </xdr:from>
        <xdr:to>
          <xdr:col>8</xdr:col>
          <xdr:colOff>9525</xdr:colOff>
          <xdr:row>58</xdr:row>
          <xdr:rowOff>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134501</xdr:colOff>
      <xdr:row>49</xdr:row>
      <xdr:rowOff>62752</xdr:rowOff>
    </xdr:from>
    <xdr:to>
      <xdr:col>15</xdr:col>
      <xdr:colOff>484124</xdr:colOff>
      <xdr:row>51</xdr:row>
      <xdr:rowOff>161363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326001" y="10338546"/>
          <a:ext cx="943535"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15</xdr:col>
      <xdr:colOff>197245</xdr:colOff>
      <xdr:row>49</xdr:row>
      <xdr:rowOff>71718</xdr:rowOff>
    </xdr:from>
    <xdr:to>
      <xdr:col>16</xdr:col>
      <xdr:colOff>528939</xdr:colOff>
      <xdr:row>51</xdr:row>
      <xdr:rowOff>170330</xdr:rowOff>
    </xdr:to>
    <xdr:sp macro="" textlink="VIN_nom">
      <xdr:nvSpPr>
        <xdr:cNvPr id="3" name="TextBox 2">
          <a:extLst>
            <a:ext uri="{FF2B5EF4-FFF2-40B4-BE49-F238E27FC236}">
              <a16:creationId xmlns:a16="http://schemas.microsoft.com/office/drawing/2014/main" id="{00000000-0008-0000-0000-000003000000}"/>
            </a:ext>
          </a:extLst>
        </xdr:cNvPr>
        <xdr:cNvSpPr txBox="1"/>
      </xdr:nvSpPr>
      <xdr:spPr>
        <a:xfrm>
          <a:off x="8955763" y="9538447"/>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24</a:t>
          </a:fld>
          <a:endParaRPr lang="en-US" sz="2400"/>
        </a:p>
      </xdr:txBody>
    </xdr:sp>
    <xdr:clientData/>
  </xdr:twoCellAnchor>
  <xdr:twoCellAnchor>
    <xdr:from>
      <xdr:col>15</xdr:col>
      <xdr:colOff>568726</xdr:colOff>
      <xdr:row>49</xdr:row>
      <xdr:rowOff>62752</xdr:rowOff>
    </xdr:from>
    <xdr:to>
      <xdr:col>17</xdr:col>
      <xdr:colOff>318274</xdr:colOff>
      <xdr:row>51</xdr:row>
      <xdr:rowOff>161363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354138" y="10338546"/>
          <a:ext cx="937371"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376517</xdr:colOff>
      <xdr:row>74</xdr:row>
      <xdr:rowOff>26894</xdr:rowOff>
    </xdr:from>
    <xdr:to>
      <xdr:col>13</xdr:col>
      <xdr:colOff>116540</xdr:colOff>
      <xdr:row>76</xdr:row>
      <xdr:rowOff>134470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696635"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439261</xdr:colOff>
      <xdr:row>74</xdr:row>
      <xdr:rowOff>35860</xdr:rowOff>
    </xdr:from>
    <xdr:to>
      <xdr:col>14</xdr:col>
      <xdr:colOff>161355</xdr:colOff>
      <xdr:row>76</xdr:row>
      <xdr:rowOff>143437</xdr:rowOff>
    </xdr:to>
    <xdr:sp macro="" textlink="VIN_nom">
      <xdr:nvSpPr>
        <xdr:cNvPr id="10" name="TextBox 9">
          <a:extLst>
            <a:ext uri="{FF2B5EF4-FFF2-40B4-BE49-F238E27FC236}">
              <a16:creationId xmlns:a16="http://schemas.microsoft.com/office/drawing/2014/main" id="{00000000-0008-0000-0000-00000A000000}"/>
            </a:ext>
          </a:extLst>
        </xdr:cNvPr>
        <xdr:cNvSpPr txBox="1"/>
      </xdr:nvSpPr>
      <xdr:spPr>
        <a:xfrm>
          <a:off x="7368979" y="14388354"/>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24</a:t>
          </a:fld>
          <a:endParaRPr lang="en-US" sz="2400"/>
        </a:p>
      </xdr:txBody>
    </xdr:sp>
    <xdr:clientData/>
  </xdr:twoCellAnchor>
  <xdr:twoCellAnchor>
    <xdr:from>
      <xdr:col>13</xdr:col>
      <xdr:colOff>233079</xdr:colOff>
      <xdr:row>74</xdr:row>
      <xdr:rowOff>26894</xdr:rowOff>
    </xdr:from>
    <xdr:to>
      <xdr:col>14</xdr:col>
      <xdr:colOff>582702</xdr:colOff>
      <xdr:row>76</xdr:row>
      <xdr:rowOff>134470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772397"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99097</xdr:colOff>
      <xdr:row>67</xdr:row>
      <xdr:rowOff>155530</xdr:rowOff>
    </xdr:from>
    <xdr:to>
      <xdr:col>13</xdr:col>
      <xdr:colOff>150962</xdr:colOff>
      <xdr:row>68</xdr:row>
      <xdr:rowOff>132991</xdr:rowOff>
    </xdr:to>
    <xdr:sp macro="" textlink="Loop_Modeling!A69">
      <xdr:nvSpPr>
        <xdr:cNvPr id="14" name="TextBox 13">
          <a:extLst>
            <a:ext uri="{FF2B5EF4-FFF2-40B4-BE49-F238E27FC236}">
              <a16:creationId xmlns:a16="http://schemas.microsoft.com/office/drawing/2014/main" id="{00000000-0008-0000-0000-00000E000000}"/>
            </a:ext>
          </a:extLst>
        </xdr:cNvPr>
        <xdr:cNvSpPr txBox="1"/>
      </xdr:nvSpPr>
      <xdr:spPr>
        <a:xfrm>
          <a:off x="6475455" y="14328011"/>
          <a:ext cx="1230809" cy="178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96E2E744-8A5D-4458-A426-E4363EDE50C7}" type="TxLink">
            <a:rPr lang="en-US" sz="1100" b="1" i="0" u="none" strike="noStrike">
              <a:solidFill>
                <a:schemeClr val="accent1">
                  <a:lumMod val="75000"/>
                </a:schemeClr>
              </a:solidFill>
              <a:latin typeface="Calibri"/>
              <a:cs typeface="Calibri"/>
            </a:rPr>
            <a:pPr/>
            <a:t>#DIV/0!</a:t>
          </a:fld>
          <a:endParaRPr lang="en-US" sz="2400" b="1">
            <a:solidFill>
              <a:schemeClr val="accent1">
                <a:lumMod val="75000"/>
              </a:schemeClr>
            </a:solidFill>
          </a:endParaRPr>
        </a:p>
      </xdr:txBody>
    </xdr:sp>
    <xdr:clientData/>
  </xdr:twoCellAnchor>
  <xdr:twoCellAnchor>
    <xdr:from>
      <xdr:col>11</xdr:col>
      <xdr:colOff>98632</xdr:colOff>
      <xdr:row>66</xdr:row>
      <xdr:rowOff>109818</xdr:rowOff>
    </xdr:from>
    <xdr:to>
      <xdr:col>15</xdr:col>
      <xdr:colOff>224116</xdr:colOff>
      <xdr:row>67</xdr:row>
      <xdr:rowOff>123265</xdr:rowOff>
    </xdr:to>
    <xdr:sp macro="" textlink="Loop_Modeling!A68">
      <xdr:nvSpPr>
        <xdr:cNvPr id="15" name="TextBox 14">
          <a:extLst>
            <a:ext uri="{FF2B5EF4-FFF2-40B4-BE49-F238E27FC236}">
              <a16:creationId xmlns:a16="http://schemas.microsoft.com/office/drawing/2014/main" id="{00000000-0008-0000-0000-00000F000000}"/>
            </a:ext>
          </a:extLst>
        </xdr:cNvPr>
        <xdr:cNvSpPr txBox="1"/>
      </xdr:nvSpPr>
      <xdr:spPr>
        <a:xfrm>
          <a:off x="6508397" y="13982700"/>
          <a:ext cx="2501131" cy="203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F506B42-A944-4597-8E98-BD1D41977E0E}" type="TxLink">
            <a:rPr lang="en-US" sz="1100" b="1" i="0" u="none" strike="noStrike">
              <a:solidFill>
                <a:srgbClr val="C00000"/>
              </a:solidFill>
              <a:latin typeface="+mn-lt"/>
              <a:cs typeface="Arial" panose="020B0604020202020204" pitchFamily="34" charset="0"/>
            </a:rPr>
            <a:pPr/>
            <a:t>#DIV/0!</a:t>
          </a:fld>
          <a:endParaRPr lang="en-US" sz="2400" b="1">
            <a:solidFill>
              <a:srgbClr val="C00000"/>
            </a:solidFill>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18648</xdr:colOff>
          <xdr:row>6</xdr:row>
          <xdr:rowOff>9525</xdr:rowOff>
        </xdr:from>
        <xdr:to>
          <xdr:col>25</xdr:col>
          <xdr:colOff>417820</xdr:colOff>
          <xdr:row>36</xdr:row>
          <xdr:rowOff>167640</xdr:rowOff>
        </xdr:to>
        <xdr:pic>
          <xdr:nvPicPr>
            <xdr:cNvPr id="18" name="Picture 17">
              <a:extLst>
                <a:ext uri="{FF2B5EF4-FFF2-40B4-BE49-F238E27FC236}">
                  <a16:creationId xmlns:a16="http://schemas.microsoft.com/office/drawing/2014/main" id="{00000000-0008-0000-0000-000012000000}"/>
                </a:ext>
              </a:extLst>
            </xdr:cNvPr>
            <xdr:cNvPicPr>
              <a:picLocks noChangeAspect="1"/>
              <a:extLst>
                <a:ext uri="{84589F7E-364E-4C9E-8A38-B11213B215E9}">
                  <a14:cameraTool cellRange="display_SCH" spid="_x0000_s1222"/>
                </a:ext>
              </a:extLst>
            </xdr:cNvPicPr>
          </xdr:nvPicPr>
          <xdr:blipFill rotWithShape="1">
            <a:blip xmlns:r="http://schemas.openxmlformats.org/officeDocument/2006/relationships" r:embed="rId3"/>
            <a:srcRect/>
            <a:stretch>
              <a:fillRect/>
            </a:stretch>
          </xdr:blipFill>
          <xdr:spPr>
            <a:xfrm>
              <a:off x="5834501" y="1567143"/>
              <a:ext cx="9195790" cy="6116058"/>
            </a:xfrm>
            <a:prstGeom prst="rect">
              <a:avLst/>
            </a:prstGeom>
            <a:solidFill>
              <a:schemeClr val="bg1"/>
            </a:solidFill>
          </xdr:spPr>
        </xdr:pic>
        <xdr:clientData/>
      </xdr:twoCellAnchor>
    </mc:Choice>
    <mc:Fallback/>
  </mc:AlternateContent>
  <xdr:twoCellAnchor>
    <xdr:from>
      <xdr:col>14</xdr:col>
      <xdr:colOff>333375</xdr:colOff>
      <xdr:row>16</xdr:row>
      <xdr:rowOff>85724</xdr:rowOff>
    </xdr:from>
    <xdr:to>
      <xdr:col>16</xdr:col>
      <xdr:colOff>428625</xdr:colOff>
      <xdr:row>18</xdr:row>
      <xdr:rowOff>57149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486775" y="3543299"/>
          <a:ext cx="1276350"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Arial" panose="020B0604020202020204" pitchFamily="34" charset="0"/>
              <a:cs typeface="Arial" panose="020B0604020202020204" pitchFamily="34" charset="0"/>
            </a:rPr>
            <a:t>LM5155/56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851647</xdr:colOff>
      <xdr:row>215</xdr:row>
      <xdr:rowOff>170330</xdr:rowOff>
    </xdr:from>
    <xdr:to>
      <xdr:col>14</xdr:col>
      <xdr:colOff>484094</xdr:colOff>
      <xdr:row>223</xdr:row>
      <xdr:rowOff>71719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07388" y="26544495"/>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57150</xdr:colOff>
          <xdr:row>154</xdr:row>
          <xdr:rowOff>133350</xdr:rowOff>
        </xdr:from>
        <xdr:to>
          <xdr:col>12</xdr:col>
          <xdr:colOff>390525</xdr:colOff>
          <xdr:row>157</xdr:row>
          <xdr:rowOff>19050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842683</xdr:colOff>
      <xdr:row>186</xdr:row>
      <xdr:rowOff>17930</xdr:rowOff>
    </xdr:from>
    <xdr:to>
      <xdr:col>14</xdr:col>
      <xdr:colOff>475130</xdr:colOff>
      <xdr:row>195</xdr:row>
      <xdr:rowOff>98613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voltage range</a:t>
          </a:r>
          <a:endParaRPr lang="en-US" sz="1100"/>
        </a:p>
      </xdr:txBody>
    </xdr:sp>
    <xdr:clientData/>
  </xdr:twoCellAnchor>
  <xdr:twoCellAnchor>
    <xdr:from>
      <xdr:col>14</xdr:col>
      <xdr:colOff>11205</xdr:colOff>
      <xdr:row>33</xdr:row>
      <xdr:rowOff>100853</xdr:rowOff>
    </xdr:from>
    <xdr:to>
      <xdr:col>18</xdr:col>
      <xdr:colOff>582705</xdr:colOff>
      <xdr:row>38</xdr:row>
      <xdr:rowOff>78441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2920381" y="6555441"/>
          <a:ext cx="2991971"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a:t>
          </a:r>
          <a:r>
            <a:rPr lang="en-US" sz="1100" baseline="0"/>
            <a:t> Lm is </a:t>
          </a:r>
        </a:p>
        <a:p>
          <a:r>
            <a:rPr lang="en-US" sz="1100" baseline="0"/>
            <a:t>lower then each of them -&gt; CCM</a:t>
          </a:r>
        </a:p>
        <a:p>
          <a:r>
            <a:rPr lang="en-US" sz="1100" baseline="0"/>
            <a:t>Higher </a:t>
          </a:r>
          <a:r>
            <a:rPr lang="en-US" sz="1100" baseline="0">
              <a:solidFill>
                <a:schemeClr val="dk1"/>
              </a:solidFill>
              <a:effectLst/>
              <a:latin typeface="+mn-lt"/>
              <a:ea typeface="+mn-ea"/>
              <a:cs typeface="+mn-cs"/>
            </a:rPr>
            <a:t>lower then each of them </a:t>
          </a:r>
          <a:r>
            <a:rPr lang="en-US" sz="1100" baseline="0"/>
            <a:t> -&gt; DCM</a:t>
          </a:r>
        </a:p>
        <a:p>
          <a:r>
            <a:rPr lang="en-US" sz="1100" baseline="0"/>
            <a:t>else CCM and DCM </a:t>
          </a:r>
          <a:endParaRPr lang="en-US" sz="1100"/>
        </a:p>
      </xdr:txBody>
    </xdr:sp>
    <xdr:clientData/>
  </xdr:twoCellAnchor>
  <xdr:twoCellAnchor>
    <xdr:from>
      <xdr:col>13</xdr:col>
      <xdr:colOff>268941</xdr:colOff>
      <xdr:row>23</xdr:row>
      <xdr:rowOff>112059</xdr:rowOff>
    </xdr:from>
    <xdr:to>
      <xdr:col>16</xdr:col>
      <xdr:colOff>571500</xdr:colOff>
      <xdr:row>28</xdr:row>
      <xdr:rowOff>168088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2920382" y="4661647"/>
          <a:ext cx="2330824" cy="1008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Check</a:t>
          </a:r>
          <a:r>
            <a:rPr lang="en-US" sz="1100" baseline="0"/>
            <a:t> if DC for DCM would be less the DC for CCM -&gt; in this case it would run in DCM mode</a:t>
          </a:r>
        </a:p>
        <a:p>
          <a:r>
            <a:rPr lang="en-US" sz="1100" baseline="0"/>
            <a:t>Check if at the 3 points CCM or DCM would be used</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528917</xdr:colOff>
      <xdr:row>67</xdr:row>
      <xdr:rowOff>89006</xdr:rowOff>
    </xdr:from>
    <xdr:to>
      <xdr:col>30</xdr:col>
      <xdr:colOff>79513</xdr:colOff>
      <xdr:row>86</xdr:row>
      <xdr:rowOff>92765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186690</xdr:colOff>
      <xdr:row>39</xdr:row>
      <xdr:rowOff>167640</xdr:rowOff>
    </xdr:from>
    <xdr:to>
      <xdr:col>34</xdr:col>
      <xdr:colOff>530487</xdr:colOff>
      <xdr:row>45</xdr:row>
      <xdr:rowOff>56599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34</xdr:col>
      <xdr:colOff>247650</xdr:colOff>
      <xdr:row>40</xdr:row>
      <xdr:rowOff>60960</xdr:rowOff>
    </xdr:from>
    <xdr:to>
      <xdr:col>38</xdr:col>
      <xdr:colOff>567929</xdr:colOff>
      <xdr:row>44</xdr:row>
      <xdr:rowOff>148662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31</xdr:col>
      <xdr:colOff>30480</xdr:colOff>
      <xdr:row>49</xdr:row>
      <xdr:rowOff>64770</xdr:rowOff>
    </xdr:from>
    <xdr:to>
      <xdr:col>42</xdr:col>
      <xdr:colOff>144780</xdr:colOff>
      <xdr:row>73</xdr:row>
      <xdr:rowOff>38100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317182</xdr:colOff>
      <xdr:row>23</xdr:row>
      <xdr:rowOff>62388</xdr:rowOff>
    </xdr:from>
    <xdr:to>
      <xdr:col>24</xdr:col>
      <xdr:colOff>450532</xdr:colOff>
      <xdr:row>47</xdr:row>
      <xdr:rowOff>20478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8325</xdr:colOff>
      <xdr:row>38</xdr:row>
      <xdr:rowOff>8964</xdr:rowOff>
    </xdr:from>
    <xdr:to>
      <xdr:col>11</xdr:col>
      <xdr:colOff>591031</xdr:colOff>
      <xdr:row>46</xdr:row>
      <xdr:rowOff>131269</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187669" y="753371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points</a:t>
          </a:r>
          <a:r>
            <a:rPr lang="en-US" sz="1100" baseline="0"/>
            <a:t> later to show where the pole and zerDc_Mode_Loopos of the loops are at. Similar to the LM5175 QS</a:t>
          </a:r>
        </a:p>
        <a:p>
          <a:endParaRPr lang="en-US" sz="1100" baseline="0"/>
        </a:p>
        <a:p>
          <a:r>
            <a:rPr lang="en-US" sz="1100" baseline="0"/>
            <a:t>Should also update to the more accurate equation of the DC gain. See Mathcad and Sheehan paper.</a:t>
          </a:r>
          <a:endParaRPr lang="en-US" sz="1100"/>
        </a:p>
      </xdr:txBody>
    </xdr:sp>
    <xdr:clientData/>
  </xdr:twoCellAnchor>
  <xdr:twoCellAnchor>
    <xdr:from>
      <xdr:col>8</xdr:col>
      <xdr:colOff>0</xdr:colOff>
      <xdr:row>52</xdr:row>
      <xdr:rowOff>13855</xdr:rowOff>
    </xdr:from>
    <xdr:to>
      <xdr:col>12</xdr:col>
      <xdr:colOff>83127</xdr:colOff>
      <xdr:row>63</xdr:row>
      <xdr:rowOff>13855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276109" y="8936182"/>
          <a:ext cx="2521527"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Next</a:t>
          </a:r>
          <a:r>
            <a:rPr lang="en-US" sz="1100" baseline="0"/>
            <a:t> Revision additions</a:t>
          </a:r>
        </a:p>
        <a:p>
          <a:r>
            <a:rPr lang="en-US" sz="1100" baseline="0"/>
            <a:t>- Add the effect of the EA output resistance and capacitance</a:t>
          </a:r>
        </a:p>
      </xdr:txBody>
    </xdr:sp>
    <xdr:clientData/>
  </xdr:twoCellAnchor>
  <xdr:twoCellAnchor>
    <xdr:from>
      <xdr:col>8</xdr:col>
      <xdr:colOff>291694</xdr:colOff>
      <xdr:row>12</xdr:row>
      <xdr:rowOff>113739</xdr:rowOff>
    </xdr:from>
    <xdr:to>
      <xdr:col>12</xdr:col>
      <xdr:colOff>267182</xdr:colOff>
      <xdr:row>20</xdr:row>
      <xdr:rowOff>188419</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6471038" y="263786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Duty Cycle</a:t>
          </a:r>
          <a:r>
            <a:rPr lang="en-US" sz="1100" baseline="0"/>
            <a:t> mode for </a:t>
          </a:r>
          <a:r>
            <a:rPr lang="en-US" sz="1100"/>
            <a:t>Loop Comenstation is fixed to</a:t>
          </a:r>
          <a:r>
            <a:rPr lang="en-US" sz="1100" baseline="0"/>
            <a:t> CCM as it stable in DCM when stable in CCM but if required could be also set to selected mode on variable Management page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548640</xdr:colOff>
      <xdr:row>8</xdr:row>
      <xdr:rowOff>0</xdr:rowOff>
    </xdr:from>
    <xdr:to>
      <xdr:col>12</xdr:col>
      <xdr:colOff>449580</xdr:colOff>
      <xdr:row>10</xdr:row>
      <xdr:rowOff>123546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12</xdr:row>
      <xdr:rowOff>132742</xdr:rowOff>
    </xdr:from>
    <xdr:to>
      <xdr:col>13</xdr:col>
      <xdr:colOff>350520</xdr:colOff>
      <xdr:row>16</xdr:row>
      <xdr:rowOff>76286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22</xdr:row>
      <xdr:rowOff>0</xdr:rowOff>
    </xdr:from>
    <xdr:to>
      <xdr:col>13</xdr:col>
      <xdr:colOff>76200</xdr:colOff>
      <xdr:row>30</xdr:row>
      <xdr:rowOff>45370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9157</xdr:colOff>
      <xdr:row>3</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xdr:col>
      <xdr:colOff>5057640</xdr:colOff>
      <xdr:row>1</xdr:row>
      <xdr:rowOff>2762250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599" y="1905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3</xdr:row>
      <xdr:rowOff>0</xdr:rowOff>
    </xdr:from>
    <xdr:to>
      <xdr:col>1</xdr:col>
      <xdr:colOff>5057640</xdr:colOff>
      <xdr:row>3</xdr:row>
      <xdr:rowOff>2762250</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599" y="37719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592455</xdr:colOff>
      <xdr:row>2</xdr:row>
      <xdr:rowOff>93296</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2021</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086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95247" y="1114423"/>
          <a:ext cx="11229977" cy="40862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2021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5247" y="5276848"/>
          <a:ext cx="11229977" cy="809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196876/Downloads/ADS1235%20Design%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
      <sheetName val="Common-Mode Range"/>
      <sheetName val="Code Conversions"/>
      <sheetName val="Digital Filter"/>
      <sheetName val="STATUS"/>
      <sheetName val="CRC"/>
      <sheetName val="About"/>
      <sheetName val="Help"/>
    </sheetNames>
    <sheetDataSet>
      <sheetData sheetId="0" refreshError="1"/>
      <sheetData sheetId="1" refreshError="1"/>
      <sheetData sheetId="2" refreshError="1"/>
      <sheetData sheetId="3">
        <row r="84">
          <cell r="T84" t="b">
            <v>0</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00"/>
  <sheetViews>
    <sheetView tabSelected="1" zoomScaleNormal="100" workbookViewId="0">
      <selection activeCell="H87" sqref="H87"/>
    </sheetView>
  </sheetViews>
  <sheetFormatPr defaultColWidth="8.85546875" defaultRowHeight="15" x14ac:dyDescent="0.25"/>
  <cols>
    <col min="1" max="5" width="8.85546875" style="57" customWidth="1"/>
    <col min="6" max="6" width="12.7109375" style="57" bestFit="1" customWidth="1"/>
    <col min="7" max="7" width="8.85546875" style="113" customWidth="1"/>
    <col min="8" max="8" width="12" style="57" bestFit="1" customWidth="1"/>
    <col min="9" max="9" width="4.28515625" style="57" bestFit="1" customWidth="1"/>
    <col min="10" max="10" width="4.7109375" style="57" customWidth="1"/>
    <col min="11" max="21" width="8.85546875" style="57" customWidth="1"/>
    <col min="22" max="22" width="7.28515625" style="57" customWidth="1"/>
    <col min="23" max="26" width="8.85546875" style="57" customWidth="1"/>
    <col min="27" max="27" width="1.7109375" style="114" customWidth="1"/>
    <col min="28" max="16384" width="8.85546875" style="57"/>
  </cols>
  <sheetData>
    <row r="1" spans="1:27" ht="46.9" customHeight="1" x14ac:dyDescent="0.25">
      <c r="A1" s="53"/>
      <c r="B1" s="53"/>
      <c r="C1" s="53"/>
      <c r="D1" s="53"/>
      <c r="E1" s="54" t="s">
        <v>579</v>
      </c>
      <c r="F1" s="53"/>
      <c r="G1" s="55"/>
      <c r="H1" s="53"/>
      <c r="I1" s="53"/>
      <c r="J1" s="53"/>
      <c r="K1" s="53"/>
      <c r="L1" s="53"/>
      <c r="M1" s="53"/>
      <c r="N1" s="53"/>
      <c r="O1" s="53"/>
      <c r="P1" s="53"/>
      <c r="Q1" s="53"/>
      <c r="R1" s="53"/>
      <c r="S1" s="53"/>
      <c r="T1" s="53"/>
      <c r="U1" s="53"/>
      <c r="V1" s="53"/>
      <c r="W1" s="53"/>
      <c r="X1" s="53"/>
      <c r="Y1" s="53"/>
      <c r="Z1" s="53"/>
      <c r="AA1" s="56"/>
    </row>
    <row r="2" spans="1:27" x14ac:dyDescent="0.25">
      <c r="A2" s="58"/>
      <c r="B2" s="58"/>
      <c r="C2" s="58"/>
      <c r="D2" s="58"/>
      <c r="E2" s="58"/>
      <c r="F2" s="58"/>
      <c r="G2" s="59"/>
      <c r="H2" s="58"/>
      <c r="I2" s="58"/>
      <c r="J2" s="58"/>
      <c r="K2" s="58"/>
      <c r="L2" s="58"/>
      <c r="M2" s="58"/>
      <c r="N2" s="58"/>
      <c r="O2" s="58"/>
      <c r="P2" s="58"/>
      <c r="Q2" s="58"/>
      <c r="R2" s="58"/>
      <c r="S2" s="58"/>
      <c r="T2" s="58"/>
      <c r="U2" s="58"/>
      <c r="V2" s="58"/>
      <c r="W2" s="58"/>
      <c r="X2" s="58"/>
      <c r="Y2" s="58"/>
      <c r="Z2" s="58"/>
      <c r="AA2" s="56"/>
    </row>
    <row r="3" spans="1:27" x14ac:dyDescent="0.25">
      <c r="A3" s="60" t="s">
        <v>1</v>
      </c>
      <c r="B3" s="58"/>
      <c r="C3" s="58"/>
      <c r="D3" s="58"/>
      <c r="E3" s="61"/>
      <c r="F3" s="62" t="s">
        <v>2</v>
      </c>
      <c r="G3" s="59"/>
      <c r="H3" s="58"/>
      <c r="I3" s="58"/>
      <c r="J3" s="58"/>
      <c r="K3" s="58"/>
      <c r="L3" s="58"/>
      <c r="M3" s="58"/>
      <c r="N3" s="228" t="s">
        <v>0</v>
      </c>
      <c r="O3" s="228"/>
      <c r="P3" s="58"/>
      <c r="Q3" s="58"/>
      <c r="R3" s="58"/>
      <c r="S3" s="58"/>
      <c r="T3" s="58"/>
      <c r="U3" s="58"/>
      <c r="V3" s="58"/>
      <c r="W3" s="58"/>
      <c r="X3" s="58"/>
      <c r="Y3" s="58"/>
      <c r="Z3" s="58"/>
      <c r="AA3" s="56"/>
    </row>
    <row r="4" spans="1:27" s="66" customFormat="1" x14ac:dyDescent="0.25">
      <c r="A4" s="63"/>
      <c r="B4" s="63"/>
      <c r="C4" s="63"/>
      <c r="D4" s="63"/>
      <c r="E4" s="63"/>
      <c r="F4" s="63"/>
      <c r="G4" s="64"/>
      <c r="H4" s="63"/>
      <c r="I4" s="63"/>
      <c r="J4" s="63"/>
      <c r="K4" s="63"/>
      <c r="L4" s="63"/>
      <c r="M4" s="63"/>
      <c r="N4" s="63"/>
      <c r="O4" s="63"/>
      <c r="P4" s="63"/>
      <c r="Q4" s="63"/>
      <c r="R4" s="63"/>
      <c r="S4" s="63"/>
      <c r="T4" s="63"/>
      <c r="U4" s="63"/>
      <c r="V4" s="63"/>
      <c r="W4" s="63"/>
      <c r="X4" s="63"/>
      <c r="Y4" s="63"/>
      <c r="Z4" s="63"/>
      <c r="AA4" s="65"/>
    </row>
    <row r="5" spans="1:27" x14ac:dyDescent="0.25">
      <c r="A5" s="67"/>
      <c r="B5" s="67"/>
      <c r="C5" s="67"/>
      <c r="D5" s="67"/>
      <c r="E5" s="67"/>
      <c r="F5" s="67"/>
      <c r="G5" s="68"/>
      <c r="H5" s="67"/>
      <c r="I5" s="67"/>
      <c r="J5" s="67"/>
      <c r="K5" s="67"/>
      <c r="L5" s="67"/>
      <c r="M5" s="67"/>
      <c r="N5" s="67" t="s">
        <v>577</v>
      </c>
      <c r="O5" s="69" t="s">
        <v>578</v>
      </c>
      <c r="P5" s="67"/>
      <c r="Q5" s="67"/>
      <c r="R5" s="67"/>
      <c r="S5" s="67"/>
      <c r="T5" s="67"/>
      <c r="U5" s="67"/>
      <c r="V5" s="67"/>
      <c r="W5" s="67"/>
      <c r="X5" s="67"/>
      <c r="Y5" s="67"/>
      <c r="Z5" s="67"/>
      <c r="AA5" s="56"/>
    </row>
    <row r="6" spans="1:27" ht="15.75" thickBot="1" x14ac:dyDescent="0.3">
      <c r="A6" s="70" t="s">
        <v>3</v>
      </c>
      <c r="B6" s="67"/>
      <c r="C6" s="67"/>
      <c r="D6" s="67"/>
      <c r="E6" s="67"/>
      <c r="F6" s="67"/>
      <c r="G6" s="68"/>
      <c r="H6" s="67"/>
      <c r="I6" s="67"/>
      <c r="J6" s="67"/>
      <c r="K6" s="67"/>
      <c r="L6" s="67"/>
      <c r="M6" s="67"/>
      <c r="N6" s="67"/>
      <c r="O6" s="67"/>
      <c r="P6" s="67"/>
      <c r="Q6" s="67"/>
      <c r="R6" s="67"/>
      <c r="S6" s="67"/>
      <c r="T6" s="67"/>
      <c r="U6" s="67"/>
      <c r="V6" s="67"/>
      <c r="W6" s="67"/>
      <c r="X6" s="67"/>
      <c r="Y6" s="67"/>
      <c r="Z6" s="67"/>
      <c r="AA6" s="56"/>
    </row>
    <row r="7" spans="1:27" x14ac:dyDescent="0.25">
      <c r="A7" s="71"/>
      <c r="B7" s="72"/>
      <c r="C7" s="72"/>
      <c r="D7" s="72"/>
      <c r="E7" s="72"/>
      <c r="F7" s="72"/>
      <c r="G7" s="73" t="s">
        <v>4</v>
      </c>
      <c r="H7" s="116">
        <v>21.6</v>
      </c>
      <c r="I7" s="74" t="s">
        <v>10</v>
      </c>
      <c r="J7" s="67"/>
      <c r="K7" s="67"/>
      <c r="L7" s="67"/>
      <c r="M7" s="67"/>
      <c r="N7" s="67"/>
      <c r="O7" s="67"/>
      <c r="P7" s="67"/>
      <c r="Q7" s="67"/>
      <c r="R7" s="67"/>
      <c r="S7" s="67"/>
      <c r="T7" s="67"/>
      <c r="U7" s="67"/>
      <c r="V7" s="67"/>
      <c r="W7" s="67"/>
      <c r="X7" s="67"/>
      <c r="Y7" s="67"/>
      <c r="Z7" s="67"/>
      <c r="AA7" s="56"/>
    </row>
    <row r="8" spans="1:27" x14ac:dyDescent="0.25">
      <c r="A8" s="75"/>
      <c r="B8" s="67"/>
      <c r="C8" s="67"/>
      <c r="D8" s="67"/>
      <c r="E8" s="67"/>
      <c r="F8" s="67"/>
      <c r="G8" s="76" t="s">
        <v>5</v>
      </c>
      <c r="H8" s="117">
        <v>24</v>
      </c>
      <c r="I8" s="77" t="s">
        <v>10</v>
      </c>
      <c r="J8" s="67"/>
      <c r="K8" s="67"/>
      <c r="L8" s="67"/>
      <c r="M8" s="67"/>
      <c r="N8" s="67"/>
      <c r="O8" s="67"/>
      <c r="P8" s="67"/>
      <c r="Q8" s="67"/>
      <c r="R8" s="67"/>
      <c r="S8" s="67"/>
      <c r="T8" s="67"/>
      <c r="U8" s="67"/>
      <c r="V8" s="67"/>
      <c r="W8" s="67"/>
      <c r="X8" s="67"/>
      <c r="Y8" s="67"/>
      <c r="Z8" s="67"/>
      <c r="AA8" s="56"/>
    </row>
    <row r="9" spans="1:27" x14ac:dyDescent="0.25">
      <c r="A9" s="75"/>
      <c r="B9" s="67"/>
      <c r="C9" s="67"/>
      <c r="D9" s="67"/>
      <c r="E9" s="67"/>
      <c r="F9" s="67"/>
      <c r="G9" s="76" t="s">
        <v>6</v>
      </c>
      <c r="H9" s="117">
        <v>26.4</v>
      </c>
      <c r="I9" s="77" t="s">
        <v>10</v>
      </c>
      <c r="J9" s="67"/>
      <c r="K9" s="67"/>
      <c r="L9" s="67"/>
      <c r="M9" s="67"/>
      <c r="N9" s="67"/>
      <c r="O9" s="67"/>
      <c r="P9" s="67"/>
      <c r="Q9" s="67"/>
      <c r="R9" s="67"/>
      <c r="S9" s="67"/>
      <c r="T9" s="67"/>
      <c r="U9" s="67"/>
      <c r="V9" s="67"/>
      <c r="W9" s="67"/>
      <c r="X9" s="67"/>
      <c r="Y9" s="67"/>
      <c r="Z9" s="67"/>
      <c r="AA9" s="56"/>
    </row>
    <row r="10" spans="1:27" x14ac:dyDescent="0.25">
      <c r="A10" s="75"/>
      <c r="B10" s="67"/>
      <c r="C10" s="67"/>
      <c r="D10" s="67"/>
      <c r="E10" s="67"/>
      <c r="F10" s="67"/>
      <c r="G10" s="76" t="s">
        <v>540</v>
      </c>
      <c r="H10" s="117">
        <v>135</v>
      </c>
      <c r="I10" s="77" t="s">
        <v>10</v>
      </c>
      <c r="J10" s="67"/>
      <c r="K10" s="67"/>
      <c r="L10" s="67"/>
      <c r="M10" s="67"/>
      <c r="N10" s="67"/>
      <c r="O10" s="67"/>
      <c r="P10" s="67"/>
      <c r="Q10" s="67"/>
      <c r="R10" s="67"/>
      <c r="S10" s="67"/>
      <c r="T10" s="67"/>
      <c r="U10" s="67"/>
      <c r="V10" s="67"/>
      <c r="W10" s="67"/>
      <c r="X10" s="67"/>
      <c r="Y10" s="67"/>
      <c r="Z10" s="67"/>
      <c r="AA10" s="56"/>
    </row>
    <row r="11" spans="1:27" x14ac:dyDescent="0.25">
      <c r="A11" s="75"/>
      <c r="B11" s="67"/>
      <c r="C11" s="67"/>
      <c r="D11" s="67"/>
      <c r="E11" s="67"/>
      <c r="F11" s="67"/>
      <c r="G11" s="76" t="s">
        <v>7</v>
      </c>
      <c r="H11" s="117">
        <v>0.05</v>
      </c>
      <c r="I11" s="77" t="s">
        <v>11</v>
      </c>
      <c r="J11" s="67"/>
      <c r="K11" s="67"/>
      <c r="L11" s="67"/>
      <c r="M11" s="67"/>
      <c r="N11" s="67"/>
      <c r="O11" s="67"/>
      <c r="P11" s="67"/>
      <c r="Q11" s="67"/>
      <c r="R11" s="67"/>
      <c r="S11" s="67"/>
      <c r="T11" s="67"/>
      <c r="U11" s="67"/>
      <c r="V11" s="67"/>
      <c r="W11" s="67"/>
      <c r="X11" s="67"/>
      <c r="Y11" s="67"/>
      <c r="Z11" s="67"/>
      <c r="AA11" s="56"/>
    </row>
    <row r="12" spans="1:27" x14ac:dyDescent="0.25">
      <c r="A12" s="75"/>
      <c r="B12" s="67"/>
      <c r="C12" s="67"/>
      <c r="D12" s="67"/>
      <c r="E12" s="67"/>
      <c r="F12" s="67"/>
      <c r="G12" s="76" t="s">
        <v>8</v>
      </c>
      <c r="H12" s="117">
        <v>440</v>
      </c>
      <c r="I12" s="77" t="s">
        <v>12</v>
      </c>
      <c r="J12" s="67"/>
      <c r="K12" s="67"/>
      <c r="L12" s="67"/>
      <c r="M12" s="67"/>
      <c r="N12" s="67"/>
      <c r="O12" s="67"/>
      <c r="P12" s="67"/>
      <c r="Q12" s="67"/>
      <c r="R12" s="67"/>
      <c r="S12" s="67"/>
      <c r="T12" s="67"/>
      <c r="U12" s="67"/>
      <c r="V12" s="67"/>
      <c r="W12" s="67"/>
      <c r="X12" s="67"/>
      <c r="Y12" s="67"/>
      <c r="Z12" s="67"/>
      <c r="AA12" s="56"/>
    </row>
    <row r="13" spans="1:27" x14ac:dyDescent="0.25">
      <c r="A13" s="75"/>
      <c r="B13" s="67"/>
      <c r="C13" s="67"/>
      <c r="D13" s="67"/>
      <c r="E13" s="67"/>
      <c r="F13" s="67"/>
      <c r="G13" s="76" t="s">
        <v>75</v>
      </c>
      <c r="H13" s="118">
        <f>RT/1000</f>
        <v>49.272272727272728</v>
      </c>
      <c r="I13" s="77" t="s">
        <v>76</v>
      </c>
      <c r="J13" s="67"/>
      <c r="K13" s="67"/>
      <c r="L13" s="67"/>
      <c r="M13" s="67"/>
      <c r="N13" s="67"/>
      <c r="O13" s="67"/>
      <c r="P13" s="67"/>
      <c r="Q13" s="67"/>
      <c r="R13" s="67"/>
      <c r="S13" s="67"/>
      <c r="T13" s="67"/>
      <c r="U13" s="67"/>
      <c r="V13" s="67"/>
      <c r="W13" s="67"/>
      <c r="X13" s="67"/>
      <c r="Y13" s="67"/>
      <c r="Z13" s="67"/>
      <c r="AA13" s="56"/>
    </row>
    <row r="14" spans="1:27" x14ac:dyDescent="0.25">
      <c r="A14" s="75"/>
      <c r="B14" s="67"/>
      <c r="C14" s="67"/>
      <c r="D14" s="67"/>
      <c r="E14" s="67"/>
      <c r="F14" s="67"/>
      <c r="G14" s="76" t="s">
        <v>9</v>
      </c>
      <c r="H14" s="117">
        <v>90</v>
      </c>
      <c r="I14" s="77" t="s">
        <v>13</v>
      </c>
      <c r="J14" s="67"/>
      <c r="K14" s="67"/>
      <c r="L14" s="67"/>
      <c r="M14" s="67"/>
      <c r="N14" s="67"/>
      <c r="O14" s="67"/>
      <c r="P14" s="67"/>
      <c r="Q14" s="67"/>
      <c r="R14" s="67"/>
      <c r="S14" s="67"/>
      <c r="T14" s="67"/>
      <c r="U14" s="67"/>
      <c r="V14" s="67"/>
      <c r="W14" s="67"/>
      <c r="X14" s="67"/>
      <c r="Y14" s="67"/>
      <c r="Z14" s="67"/>
      <c r="AA14" s="56"/>
    </row>
    <row r="15" spans="1:27" x14ac:dyDescent="0.25">
      <c r="A15" s="75"/>
      <c r="B15" s="67"/>
      <c r="C15" s="67"/>
      <c r="D15" s="67"/>
      <c r="E15" s="67"/>
      <c r="F15" s="67"/>
      <c r="G15" s="76" t="s">
        <v>14</v>
      </c>
      <c r="H15" s="119">
        <f>POUT</f>
        <v>6.75</v>
      </c>
      <c r="I15" s="77" t="s">
        <v>38</v>
      </c>
      <c r="J15" s="67"/>
      <c r="K15" s="67"/>
      <c r="L15" s="67"/>
      <c r="M15" s="67"/>
      <c r="N15" s="67"/>
      <c r="O15" s="67"/>
      <c r="P15" s="67"/>
      <c r="Q15" s="67"/>
      <c r="R15" s="67"/>
      <c r="S15" s="67"/>
      <c r="T15" s="67"/>
      <c r="U15" s="67"/>
      <c r="V15" s="67"/>
      <c r="W15" s="67"/>
      <c r="X15" s="67"/>
      <c r="Y15" s="67"/>
      <c r="Z15" s="67"/>
      <c r="AA15" s="56"/>
    </row>
    <row r="16" spans="1:27" x14ac:dyDescent="0.25">
      <c r="A16" s="78"/>
      <c r="B16" s="79"/>
      <c r="C16" s="79"/>
      <c r="D16" s="79"/>
      <c r="E16" s="79"/>
      <c r="F16" s="67"/>
      <c r="G16" s="80" t="s">
        <v>486</v>
      </c>
      <c r="H16" s="119">
        <f>Dc_max_IC*100</f>
        <v>93</v>
      </c>
      <c r="I16" s="77" t="s">
        <v>13</v>
      </c>
      <c r="J16" s="67"/>
      <c r="K16" s="67"/>
      <c r="L16" s="67"/>
      <c r="M16" s="67"/>
      <c r="N16" s="67"/>
      <c r="O16" s="67"/>
      <c r="P16" s="67"/>
      <c r="Q16" s="67"/>
      <c r="R16" s="67"/>
      <c r="S16" s="67"/>
      <c r="T16" s="67"/>
      <c r="U16" s="67"/>
      <c r="V16" s="67"/>
      <c r="W16" s="67"/>
      <c r="X16" s="67"/>
      <c r="Y16" s="67"/>
      <c r="Z16" s="67"/>
      <c r="AA16" s="56"/>
    </row>
    <row r="17" spans="1:27" ht="15.75" thickBot="1" x14ac:dyDescent="0.3">
      <c r="A17" s="78"/>
      <c r="B17" s="79"/>
      <c r="C17" s="79"/>
      <c r="D17" s="79"/>
      <c r="E17" s="79"/>
      <c r="F17" s="67"/>
      <c r="G17" s="80" t="s">
        <v>518</v>
      </c>
      <c r="H17" s="142">
        <f>Variable_Management!B39*100</f>
        <v>84</v>
      </c>
      <c r="I17" s="77" t="s">
        <v>13</v>
      </c>
      <c r="J17" s="67"/>
      <c r="K17" s="67"/>
      <c r="L17" s="67"/>
      <c r="M17" s="67"/>
      <c r="N17" s="67"/>
      <c r="O17" s="67"/>
      <c r="P17" s="67"/>
      <c r="Q17" s="67"/>
      <c r="R17" s="67"/>
      <c r="S17" s="67"/>
      <c r="T17" s="67"/>
      <c r="U17" s="67"/>
      <c r="V17" s="67"/>
      <c r="W17" s="67"/>
      <c r="X17" s="67"/>
      <c r="Y17" s="67"/>
      <c r="Z17" s="67"/>
      <c r="AA17" s="56"/>
    </row>
    <row r="18" spans="1:27" ht="15.75" thickBot="1" x14ac:dyDescent="0.3">
      <c r="A18" s="81"/>
      <c r="B18" s="82"/>
      <c r="C18" s="82"/>
      <c r="D18" s="82"/>
      <c r="E18" s="82"/>
      <c r="F18" s="83"/>
      <c r="G18" s="84" t="s">
        <v>522</v>
      </c>
      <c r="H18" s="138" t="s">
        <v>495</v>
      </c>
      <c r="I18" s="85"/>
      <c r="J18" s="67"/>
      <c r="K18" s="67"/>
      <c r="L18" s="67"/>
      <c r="M18" s="67"/>
      <c r="N18" s="67"/>
      <c r="O18" s="67"/>
      <c r="P18" s="67"/>
      <c r="Q18" s="67"/>
      <c r="R18" s="67"/>
      <c r="S18" s="67"/>
      <c r="T18" s="67"/>
      <c r="U18" s="67"/>
      <c r="V18" s="67"/>
      <c r="W18" s="67"/>
      <c r="X18" s="67"/>
      <c r="Y18" s="67"/>
      <c r="Z18" s="67"/>
      <c r="AA18" s="56"/>
    </row>
    <row r="19" spans="1:27" x14ac:dyDescent="0.25">
      <c r="A19" s="79"/>
      <c r="B19" s="79"/>
      <c r="C19" s="79"/>
      <c r="D19" s="79"/>
      <c r="E19" s="79"/>
      <c r="F19" s="67"/>
      <c r="G19" s="68"/>
      <c r="H19" s="67"/>
      <c r="I19" s="67"/>
      <c r="J19" s="67"/>
      <c r="K19" s="67"/>
      <c r="L19" s="67"/>
      <c r="M19" s="67"/>
      <c r="N19" s="67"/>
      <c r="O19" s="67"/>
      <c r="P19" s="67"/>
      <c r="Q19" s="67"/>
      <c r="R19" s="67"/>
      <c r="S19" s="67"/>
      <c r="T19" s="67"/>
      <c r="U19" s="67"/>
      <c r="V19" s="67"/>
      <c r="W19" s="67"/>
      <c r="X19" s="67"/>
      <c r="Y19" s="67"/>
      <c r="Z19" s="67"/>
      <c r="AA19" s="56"/>
    </row>
    <row r="20" spans="1:27" ht="15.75" thickBot="1" x14ac:dyDescent="0.3">
      <c r="A20" s="70" t="s">
        <v>77</v>
      </c>
      <c r="B20" s="79"/>
      <c r="C20" s="79"/>
      <c r="D20" s="79"/>
      <c r="E20" s="79"/>
      <c r="F20" s="67"/>
      <c r="G20" s="68"/>
      <c r="H20" s="67"/>
      <c r="I20" s="67"/>
      <c r="J20" s="67"/>
      <c r="K20" s="67"/>
      <c r="L20" s="67"/>
      <c r="M20" s="67"/>
      <c r="N20" s="67"/>
      <c r="O20" s="67"/>
      <c r="P20" s="67"/>
      <c r="Q20" s="67"/>
      <c r="R20" s="67"/>
      <c r="S20" s="67"/>
      <c r="T20" s="67"/>
      <c r="U20" s="67"/>
      <c r="V20" s="67"/>
      <c r="W20" s="67"/>
      <c r="X20" s="67"/>
      <c r="Y20" s="67"/>
      <c r="Z20" s="67"/>
      <c r="AA20" s="56"/>
    </row>
    <row r="21" spans="1:27" x14ac:dyDescent="0.25">
      <c r="A21" s="86"/>
      <c r="B21" s="87"/>
      <c r="C21" s="87"/>
      <c r="D21" s="87"/>
      <c r="E21" s="87"/>
      <c r="F21" s="72"/>
      <c r="G21" s="73" t="s">
        <v>487</v>
      </c>
      <c r="H21" s="116">
        <v>60</v>
      </c>
      <c r="I21" s="74" t="s">
        <v>13</v>
      </c>
      <c r="J21" s="67"/>
      <c r="K21" s="67"/>
      <c r="L21" s="67"/>
      <c r="M21" s="67"/>
      <c r="N21" s="67"/>
      <c r="O21" s="67"/>
      <c r="P21" s="67"/>
      <c r="Q21" s="67"/>
      <c r="R21" s="67"/>
      <c r="S21" s="67"/>
      <c r="T21" s="67"/>
      <c r="U21" s="67"/>
      <c r="V21" s="67"/>
      <c r="W21" s="67"/>
      <c r="X21" s="67"/>
      <c r="Y21" s="67"/>
      <c r="Z21" s="67"/>
      <c r="AA21" s="56"/>
    </row>
    <row r="22" spans="1:27" x14ac:dyDescent="0.25">
      <c r="A22" s="75"/>
      <c r="B22" s="67"/>
      <c r="C22" s="67"/>
      <c r="D22" s="67"/>
      <c r="E22" s="67"/>
      <c r="F22" s="67"/>
      <c r="G22" s="76" t="s">
        <v>459</v>
      </c>
      <c r="H22" s="120">
        <f>IF(H18="CCM",Lopt_2*10^6,L_DCM*10^6)</f>
        <v>129.06666666666658</v>
      </c>
      <c r="I22" s="77" t="s">
        <v>542</v>
      </c>
      <c r="J22" s="67"/>
      <c r="K22" s="67"/>
      <c r="L22" s="67"/>
      <c r="M22" s="67"/>
      <c r="N22" s="67"/>
      <c r="O22" s="67"/>
      <c r="P22" s="67"/>
      <c r="Q22" s="67"/>
      <c r="R22" s="67"/>
      <c r="S22" s="67"/>
      <c r="T22" s="67"/>
      <c r="U22" s="67"/>
      <c r="V22" s="67"/>
      <c r="W22" s="67"/>
      <c r="X22" s="67"/>
      <c r="Y22" s="67"/>
      <c r="Z22" s="67"/>
      <c r="AA22" s="56"/>
    </row>
    <row r="23" spans="1:27" x14ac:dyDescent="0.25">
      <c r="A23" s="75"/>
      <c r="B23" s="67"/>
      <c r="C23" s="67"/>
      <c r="D23" s="67"/>
      <c r="E23" s="67"/>
      <c r="F23" s="67"/>
      <c r="G23" s="76" t="s">
        <v>460</v>
      </c>
      <c r="H23" s="117">
        <v>680</v>
      </c>
      <c r="I23" s="77" t="s">
        <v>542</v>
      </c>
      <c r="J23" s="67"/>
      <c r="K23" s="67"/>
      <c r="L23" s="67"/>
      <c r="M23" s="67"/>
      <c r="N23" s="67"/>
      <c r="O23" s="67"/>
      <c r="P23" s="67"/>
      <c r="Q23" s="67"/>
      <c r="R23" s="67"/>
      <c r="S23" s="67"/>
      <c r="T23" s="67"/>
      <c r="U23" s="67"/>
      <c r="V23" s="67"/>
      <c r="W23" s="67"/>
      <c r="X23" s="67"/>
      <c r="Y23" s="67"/>
      <c r="Z23" s="67"/>
      <c r="AA23" s="56"/>
    </row>
    <row r="24" spans="1:27" x14ac:dyDescent="0.25">
      <c r="A24" s="75"/>
      <c r="B24" s="67"/>
      <c r="C24" s="67"/>
      <c r="D24" s="67"/>
      <c r="E24" s="67"/>
      <c r="F24" s="67"/>
      <c r="G24" s="76" t="s">
        <v>81</v>
      </c>
      <c r="H24" s="117">
        <v>1100</v>
      </c>
      <c r="I24" s="77" t="s">
        <v>105</v>
      </c>
      <c r="J24" s="67"/>
      <c r="K24" s="67"/>
      <c r="L24" s="67"/>
      <c r="M24" s="67"/>
      <c r="N24" s="67"/>
      <c r="O24" s="67"/>
      <c r="P24" s="67"/>
      <c r="Q24" s="67"/>
      <c r="R24" s="67"/>
      <c r="S24" s="67"/>
      <c r="T24" s="67"/>
      <c r="U24" s="67"/>
      <c r="V24" s="67"/>
      <c r="W24" s="67"/>
      <c r="X24" s="67"/>
      <c r="Y24" s="67"/>
      <c r="Z24" s="67"/>
      <c r="AA24" s="56"/>
    </row>
    <row r="25" spans="1:27" ht="15.75" thickBot="1" x14ac:dyDescent="0.3">
      <c r="A25" s="88"/>
      <c r="B25" s="83"/>
      <c r="C25" s="83"/>
      <c r="D25" s="83"/>
      <c r="E25" s="83"/>
      <c r="F25" s="83"/>
      <c r="G25" s="89" t="s">
        <v>106</v>
      </c>
      <c r="H25" s="121">
        <f>ILp_VINmin</f>
        <v>0.37754307783719548</v>
      </c>
      <c r="I25" s="85" t="s">
        <v>11</v>
      </c>
      <c r="J25" s="67"/>
      <c r="K25" s="67"/>
      <c r="L25" s="67"/>
      <c r="M25" s="67"/>
      <c r="N25" s="67"/>
      <c r="O25" s="67"/>
      <c r="P25" s="67"/>
      <c r="Q25" s="67"/>
      <c r="R25" s="67"/>
      <c r="S25" s="67"/>
      <c r="T25" s="67"/>
      <c r="U25" s="67"/>
      <c r="V25" s="67"/>
      <c r="W25" s="67"/>
      <c r="X25" s="67"/>
      <c r="Y25" s="67"/>
      <c r="Z25" s="67"/>
      <c r="AA25" s="56"/>
    </row>
    <row r="26" spans="1:27" x14ac:dyDescent="0.25">
      <c r="A26" s="67"/>
      <c r="B26" s="67"/>
      <c r="C26" s="67"/>
      <c r="D26" s="67"/>
      <c r="E26" s="67"/>
      <c r="F26" s="67"/>
      <c r="G26" s="68"/>
      <c r="H26" s="67"/>
      <c r="I26" s="67"/>
      <c r="J26" s="67"/>
      <c r="K26" s="67"/>
      <c r="L26" s="67"/>
      <c r="M26" s="67"/>
      <c r="N26" s="67"/>
      <c r="O26" s="67"/>
      <c r="P26" s="67"/>
      <c r="Q26" s="67"/>
      <c r="R26" s="67"/>
      <c r="S26" s="67"/>
      <c r="T26" s="67"/>
      <c r="U26" s="67"/>
      <c r="V26" s="67"/>
      <c r="W26" s="67"/>
      <c r="X26" s="67"/>
      <c r="Y26" s="67"/>
      <c r="Z26" s="67"/>
      <c r="AA26" s="56"/>
    </row>
    <row r="27" spans="1:27" ht="15.75" thickBot="1" x14ac:dyDescent="0.3">
      <c r="A27" s="70" t="s">
        <v>127</v>
      </c>
      <c r="B27" s="67"/>
      <c r="C27" s="67"/>
      <c r="D27" s="67"/>
      <c r="E27" s="67"/>
      <c r="F27" s="67"/>
      <c r="G27" s="68"/>
      <c r="H27" s="67"/>
      <c r="I27" s="67"/>
      <c r="J27" s="67"/>
      <c r="K27" s="67"/>
      <c r="L27" s="67"/>
      <c r="M27" s="67"/>
      <c r="N27" s="67"/>
      <c r="O27" s="67"/>
      <c r="P27" s="67"/>
      <c r="Q27" s="67"/>
      <c r="R27" s="67"/>
      <c r="S27" s="67"/>
      <c r="T27" s="67"/>
      <c r="U27" s="67"/>
      <c r="V27" s="67"/>
      <c r="W27" s="67"/>
      <c r="X27" s="67"/>
      <c r="Y27" s="67"/>
      <c r="Z27" s="67"/>
      <c r="AA27" s="56"/>
    </row>
    <row r="28" spans="1:27" x14ac:dyDescent="0.25">
      <c r="A28" s="71"/>
      <c r="B28" s="72"/>
      <c r="C28" s="72"/>
      <c r="D28" s="72"/>
      <c r="E28" s="72"/>
      <c r="F28" s="72"/>
      <c r="G28" s="73" t="s">
        <v>488</v>
      </c>
      <c r="H28" s="116">
        <v>30</v>
      </c>
      <c r="I28" s="74" t="s">
        <v>13</v>
      </c>
      <c r="J28" s="67"/>
      <c r="K28" s="67"/>
      <c r="L28" s="67"/>
      <c r="M28" s="67"/>
      <c r="N28" s="67"/>
      <c r="O28" s="67"/>
      <c r="P28" s="67"/>
      <c r="Q28" s="67"/>
      <c r="R28" s="67"/>
      <c r="S28" s="67"/>
      <c r="T28" s="67"/>
      <c r="U28" s="67"/>
      <c r="V28" s="67"/>
      <c r="W28" s="67"/>
      <c r="X28" s="67"/>
      <c r="Y28" s="67"/>
      <c r="Z28" s="67"/>
      <c r="AA28" s="56"/>
    </row>
    <row r="29" spans="1:27" ht="18" x14ac:dyDescent="0.35">
      <c r="A29" s="75"/>
      <c r="B29" s="67"/>
      <c r="C29" s="67"/>
      <c r="D29" s="67"/>
      <c r="E29" s="67"/>
      <c r="F29" s="67"/>
      <c r="G29" s="68" t="s">
        <v>203</v>
      </c>
      <c r="H29" s="118">
        <f>Ipk_selected</f>
        <v>0.49080600118835416</v>
      </c>
      <c r="I29" s="77" t="s">
        <v>11</v>
      </c>
      <c r="J29" s="67"/>
      <c r="K29" s="67"/>
      <c r="L29" s="67"/>
      <c r="M29" s="67"/>
      <c r="N29" s="67"/>
      <c r="O29" s="67"/>
      <c r="P29" s="67"/>
      <c r="Q29" s="67"/>
      <c r="R29" s="67"/>
      <c r="S29" s="67"/>
      <c r="T29" s="67"/>
      <c r="U29" s="67"/>
      <c r="V29" s="67"/>
      <c r="W29" s="67"/>
      <c r="X29" s="67"/>
      <c r="Y29" s="67"/>
      <c r="Z29" s="67"/>
      <c r="AA29" s="56"/>
    </row>
    <row r="30" spans="1:27" ht="18" x14ac:dyDescent="0.35">
      <c r="A30" s="75"/>
      <c r="B30" s="67"/>
      <c r="C30" s="67"/>
      <c r="D30" s="67"/>
      <c r="E30" s="67"/>
      <c r="F30" s="67"/>
      <c r="G30" s="68" t="s">
        <v>493</v>
      </c>
      <c r="H30" s="118">
        <f>Variable_Management!B135*1000</f>
        <v>176.70674416111484</v>
      </c>
      <c r="I30" s="77" t="s">
        <v>105</v>
      </c>
      <c r="J30" s="67"/>
      <c r="K30" s="67"/>
      <c r="L30" s="67"/>
      <c r="M30" s="67"/>
      <c r="N30" s="67"/>
      <c r="O30" s="67"/>
      <c r="P30" s="67"/>
      <c r="Q30" s="67"/>
      <c r="R30" s="67"/>
      <c r="S30" s="67"/>
      <c r="T30" s="67"/>
      <c r="U30" s="67"/>
      <c r="V30" s="67"/>
      <c r="W30" s="67"/>
      <c r="X30" s="67"/>
      <c r="Y30" s="67"/>
      <c r="Z30" s="67"/>
      <c r="AA30" s="56"/>
    </row>
    <row r="31" spans="1:27" ht="18" x14ac:dyDescent="0.35">
      <c r="A31" s="75"/>
      <c r="B31" s="67"/>
      <c r="C31" s="67"/>
      <c r="D31" s="67"/>
      <c r="E31" s="67"/>
      <c r="F31" s="67"/>
      <c r="G31" s="68" t="s">
        <v>166</v>
      </c>
      <c r="H31" s="122">
        <f>Variable_Management!B136</f>
        <v>526.63767917736823</v>
      </c>
      <c r="I31" s="90" t="s">
        <v>36</v>
      </c>
      <c r="J31" s="67"/>
      <c r="K31" s="67"/>
      <c r="L31" s="67"/>
      <c r="M31" s="67"/>
      <c r="N31" s="67"/>
      <c r="O31" s="67"/>
      <c r="P31" s="67"/>
      <c r="Q31" s="67"/>
      <c r="R31" s="67"/>
      <c r="S31" s="67"/>
      <c r="T31" s="67"/>
      <c r="U31" s="67"/>
      <c r="V31" s="67"/>
      <c r="W31" s="67"/>
      <c r="X31" s="67"/>
      <c r="Y31" s="67"/>
      <c r="Z31" s="67"/>
      <c r="AA31" s="56"/>
    </row>
    <row r="32" spans="1:27" ht="18" x14ac:dyDescent="0.35">
      <c r="A32" s="75"/>
      <c r="B32" s="67"/>
      <c r="C32" s="67"/>
      <c r="D32" s="67"/>
      <c r="E32" s="67"/>
      <c r="F32" s="67"/>
      <c r="G32" s="68" t="s">
        <v>494</v>
      </c>
      <c r="H32" s="117">
        <v>120</v>
      </c>
      <c r="I32" s="77" t="s">
        <v>105</v>
      </c>
      <c r="J32" s="67"/>
      <c r="K32" s="67"/>
      <c r="L32" s="67"/>
      <c r="M32" s="67"/>
      <c r="N32" s="67"/>
      <c r="O32" s="67"/>
      <c r="P32" s="67"/>
      <c r="Q32" s="67"/>
      <c r="R32" s="67"/>
      <c r="S32" s="67"/>
      <c r="T32" s="67"/>
      <c r="U32" s="67"/>
      <c r="V32" s="67"/>
      <c r="W32" s="67"/>
      <c r="X32" s="67"/>
      <c r="Y32" s="67"/>
      <c r="Z32" s="67"/>
      <c r="AA32" s="56"/>
    </row>
    <row r="33" spans="1:27" ht="18" x14ac:dyDescent="0.35">
      <c r="A33" s="75"/>
      <c r="B33" s="67"/>
      <c r="C33" s="67"/>
      <c r="D33" s="67"/>
      <c r="E33" s="67"/>
      <c r="F33" s="67"/>
      <c r="G33" s="68" t="s">
        <v>169</v>
      </c>
      <c r="H33" s="117">
        <v>0</v>
      </c>
      <c r="I33" s="90" t="s">
        <v>36</v>
      </c>
      <c r="J33" s="67"/>
      <c r="K33" s="67"/>
      <c r="L33" s="67"/>
      <c r="M33" s="67"/>
      <c r="N33" s="67"/>
      <c r="O33" s="67"/>
      <c r="P33" s="67"/>
      <c r="Q33" s="67"/>
      <c r="R33" s="67"/>
      <c r="S33" s="67"/>
      <c r="T33" s="67"/>
      <c r="U33" s="67"/>
      <c r="V33" s="67"/>
      <c r="W33" s="67"/>
      <c r="X33" s="67"/>
      <c r="Y33" s="67"/>
      <c r="Z33" s="67"/>
      <c r="AA33" s="56"/>
    </row>
    <row r="34" spans="1:27" x14ac:dyDescent="0.25">
      <c r="A34" s="75"/>
      <c r="B34" s="67"/>
      <c r="C34" s="67"/>
      <c r="D34" s="67"/>
      <c r="E34" s="67"/>
      <c r="F34" s="67"/>
      <c r="G34" s="68" t="s">
        <v>173</v>
      </c>
      <c r="H34" s="118">
        <f>IL_pk_max</f>
        <v>0.83333333333333337</v>
      </c>
      <c r="I34" s="90" t="s">
        <v>11</v>
      </c>
      <c r="J34" s="67"/>
      <c r="K34" s="67"/>
      <c r="L34" s="67"/>
      <c r="M34" s="67"/>
      <c r="N34" s="67"/>
      <c r="O34" s="67"/>
      <c r="P34" s="67"/>
      <c r="Q34" s="67"/>
      <c r="R34" s="67"/>
      <c r="S34" s="67"/>
      <c r="T34" s="67"/>
      <c r="U34" s="67"/>
      <c r="V34" s="67"/>
      <c r="W34" s="67"/>
      <c r="X34" s="67"/>
      <c r="Y34" s="67"/>
      <c r="Z34" s="67"/>
      <c r="AA34" s="56"/>
    </row>
    <row r="35" spans="1:27" ht="15.75" thickBot="1" x14ac:dyDescent="0.3">
      <c r="A35" s="88"/>
      <c r="B35" s="83"/>
      <c r="C35" s="83"/>
      <c r="D35" s="83"/>
      <c r="E35" s="83"/>
      <c r="F35" s="83"/>
      <c r="G35" s="91" t="s">
        <v>191</v>
      </c>
      <c r="H35" s="123">
        <f>Variable_Management!B145</f>
        <v>0.95833333333333326</v>
      </c>
      <c r="I35" s="92" t="s">
        <v>11</v>
      </c>
      <c r="J35" s="67"/>
      <c r="K35" s="67"/>
      <c r="L35" s="67"/>
      <c r="M35" s="67"/>
      <c r="N35" s="67"/>
      <c r="O35" s="67"/>
      <c r="P35" s="67"/>
      <c r="Q35" s="67"/>
      <c r="R35" s="67"/>
      <c r="S35" s="67"/>
      <c r="T35" s="67"/>
      <c r="U35" s="67"/>
      <c r="V35" s="67"/>
      <c r="W35" s="67"/>
      <c r="X35" s="67"/>
      <c r="Y35" s="67"/>
      <c r="Z35" s="67"/>
      <c r="AA35" s="56"/>
    </row>
    <row r="36" spans="1:27" x14ac:dyDescent="0.25">
      <c r="A36" s="67"/>
      <c r="B36" s="67"/>
      <c r="C36" s="67"/>
      <c r="D36" s="67"/>
      <c r="E36" s="67"/>
      <c r="F36" s="67"/>
      <c r="G36" s="68"/>
      <c r="H36" s="67"/>
      <c r="I36" s="67"/>
      <c r="J36" s="67"/>
      <c r="K36" s="67"/>
      <c r="L36" s="67"/>
      <c r="M36" s="67"/>
      <c r="N36" s="67"/>
      <c r="O36" s="67"/>
      <c r="P36" s="67"/>
      <c r="Q36" s="67"/>
      <c r="R36" s="67"/>
      <c r="S36" s="67"/>
      <c r="T36" s="67"/>
      <c r="U36" s="67"/>
      <c r="V36" s="67"/>
      <c r="W36" s="67"/>
      <c r="X36" s="67"/>
      <c r="Y36" s="67"/>
      <c r="Z36" s="67"/>
      <c r="AA36" s="56"/>
    </row>
    <row r="37" spans="1:27" ht="15.75" thickBot="1" x14ac:dyDescent="0.3">
      <c r="A37" s="70" t="s">
        <v>185</v>
      </c>
      <c r="B37" s="67"/>
      <c r="C37" s="67"/>
      <c r="D37" s="67"/>
      <c r="E37" s="67"/>
      <c r="F37" s="67"/>
      <c r="G37" s="68"/>
      <c r="H37" s="67"/>
      <c r="I37" s="67"/>
      <c r="J37" s="67"/>
      <c r="K37" s="67"/>
      <c r="L37" s="67"/>
      <c r="M37" s="67"/>
      <c r="N37" s="67"/>
      <c r="O37" s="67"/>
      <c r="P37" s="67"/>
      <c r="Q37" s="67"/>
      <c r="R37" s="67"/>
      <c r="S37" s="67"/>
      <c r="T37" s="67"/>
      <c r="U37" s="67"/>
      <c r="V37" s="67"/>
      <c r="W37" s="67"/>
      <c r="X37" s="67"/>
      <c r="Y37" s="67"/>
      <c r="Z37" s="67"/>
      <c r="AA37" s="56"/>
    </row>
    <row r="38" spans="1:27" ht="18" x14ac:dyDescent="0.35">
      <c r="A38" s="71"/>
      <c r="B38" s="72"/>
      <c r="C38" s="72"/>
      <c r="D38" s="72"/>
      <c r="E38" s="72"/>
      <c r="F38" s="72"/>
      <c r="G38" s="93" t="s">
        <v>541</v>
      </c>
      <c r="H38" s="116">
        <v>2500</v>
      </c>
      <c r="I38" s="74" t="s">
        <v>186</v>
      </c>
      <c r="J38" s="67"/>
      <c r="K38" s="67"/>
      <c r="L38" s="67"/>
      <c r="M38" s="67"/>
      <c r="N38" s="67"/>
      <c r="O38" s="67"/>
      <c r="P38" s="67"/>
      <c r="Q38" s="67"/>
      <c r="R38" s="67"/>
      <c r="S38" s="67"/>
      <c r="T38" s="67"/>
      <c r="U38" s="67"/>
      <c r="V38" s="67"/>
      <c r="W38" s="67"/>
      <c r="X38" s="67"/>
      <c r="Y38" s="67"/>
      <c r="Z38" s="67"/>
      <c r="AA38" s="56"/>
    </row>
    <row r="39" spans="1:27" x14ac:dyDescent="0.25">
      <c r="A39" s="75"/>
      <c r="B39" s="67"/>
      <c r="C39" s="67"/>
      <c r="D39" s="67"/>
      <c r="E39" s="67"/>
      <c r="F39" s="67"/>
      <c r="G39" s="68" t="s">
        <v>187</v>
      </c>
      <c r="H39" s="143">
        <f>Cout_min*10^6</f>
        <v>3.8181818181818185E-2</v>
      </c>
      <c r="I39" s="77" t="s">
        <v>543</v>
      </c>
      <c r="J39" s="67"/>
      <c r="K39" s="67"/>
      <c r="L39" s="67"/>
      <c r="M39" s="67"/>
      <c r="N39" s="67"/>
      <c r="O39" s="67"/>
      <c r="P39" s="67"/>
      <c r="Q39" s="67"/>
      <c r="R39" s="67"/>
      <c r="S39" s="67"/>
      <c r="T39" s="67"/>
      <c r="U39" s="67"/>
      <c r="V39" s="67"/>
      <c r="W39" s="67"/>
      <c r="X39" s="67"/>
      <c r="Y39" s="67"/>
      <c r="Z39" s="67"/>
      <c r="AA39" s="56"/>
    </row>
    <row r="40" spans="1:27" ht="18" x14ac:dyDescent="0.35">
      <c r="A40" s="75"/>
      <c r="B40" s="67"/>
      <c r="C40" s="67"/>
      <c r="D40" s="67"/>
      <c r="E40" s="67"/>
      <c r="F40" s="67"/>
      <c r="G40" s="68" t="s">
        <v>195</v>
      </c>
      <c r="H40" s="118">
        <f>IRMS_COUT</f>
        <v>0.11541719505420817</v>
      </c>
      <c r="I40" s="77" t="s">
        <v>11</v>
      </c>
      <c r="J40" s="67"/>
      <c r="K40" s="67"/>
      <c r="L40" s="67"/>
      <c r="M40" s="67"/>
      <c r="N40" s="67"/>
      <c r="O40" s="67"/>
      <c r="P40" s="67"/>
      <c r="Q40" s="67"/>
      <c r="R40" s="67"/>
      <c r="S40" s="67"/>
      <c r="T40" s="67"/>
      <c r="U40" s="67"/>
      <c r="V40" s="67"/>
      <c r="W40" s="67"/>
      <c r="X40" s="67"/>
      <c r="Y40" s="67"/>
      <c r="Z40" s="67"/>
      <c r="AA40" s="56"/>
    </row>
    <row r="41" spans="1:27" ht="18" x14ac:dyDescent="0.35">
      <c r="A41" s="75"/>
      <c r="B41" s="67"/>
      <c r="C41" s="67"/>
      <c r="D41" s="67"/>
      <c r="E41" s="67"/>
      <c r="F41" s="67"/>
      <c r="G41" s="68" t="s">
        <v>188</v>
      </c>
      <c r="H41" s="117"/>
      <c r="I41" s="77" t="s">
        <v>543</v>
      </c>
      <c r="J41" s="67"/>
      <c r="K41" s="67"/>
      <c r="L41" s="67"/>
      <c r="M41" s="67"/>
      <c r="N41" s="67"/>
      <c r="O41" s="67"/>
      <c r="P41" s="67"/>
      <c r="Q41" s="67"/>
      <c r="R41" s="67"/>
      <c r="S41" s="67"/>
      <c r="T41" s="67"/>
      <c r="U41" s="67"/>
      <c r="V41" s="67"/>
      <c r="W41" s="67"/>
      <c r="X41" s="67"/>
      <c r="Y41" s="67"/>
      <c r="Z41" s="67"/>
      <c r="AA41" s="56"/>
    </row>
    <row r="42" spans="1:27" ht="18.75" thickBot="1" x14ac:dyDescent="0.4">
      <c r="A42" s="88"/>
      <c r="B42" s="83"/>
      <c r="C42" s="83"/>
      <c r="D42" s="83"/>
      <c r="E42" s="83"/>
      <c r="F42" s="83"/>
      <c r="G42" s="91" t="s">
        <v>198</v>
      </c>
      <c r="H42" s="124">
        <v>3000</v>
      </c>
      <c r="I42" s="85" t="s">
        <v>105</v>
      </c>
      <c r="J42" s="67"/>
      <c r="K42" s="67"/>
      <c r="L42" s="67"/>
      <c r="M42" s="67"/>
      <c r="N42" s="67"/>
      <c r="O42" s="67"/>
      <c r="P42" s="67"/>
      <c r="Q42" s="67"/>
      <c r="R42" s="67"/>
      <c r="S42" s="67"/>
      <c r="T42" s="67"/>
      <c r="U42" s="67"/>
      <c r="V42" s="67"/>
      <c r="W42" s="67"/>
      <c r="X42" s="67"/>
      <c r="Y42" s="67"/>
      <c r="Z42" s="67"/>
      <c r="AA42" s="56"/>
    </row>
    <row r="43" spans="1:27" x14ac:dyDescent="0.25">
      <c r="A43" s="67"/>
      <c r="B43" s="67"/>
      <c r="C43" s="67"/>
      <c r="D43" s="67"/>
      <c r="E43" s="67"/>
      <c r="F43" s="67"/>
      <c r="G43" s="68"/>
      <c r="H43" s="67"/>
      <c r="I43" s="67"/>
      <c r="J43" s="67"/>
      <c r="K43" s="67"/>
      <c r="L43" s="67"/>
      <c r="M43" s="67"/>
      <c r="N43" s="67"/>
      <c r="O43" s="67"/>
      <c r="P43" s="67"/>
      <c r="Q43" s="67"/>
      <c r="R43" s="67"/>
      <c r="S43" s="67"/>
      <c r="T43" s="67"/>
      <c r="U43" s="67"/>
      <c r="V43" s="67"/>
      <c r="W43" s="67"/>
      <c r="X43" s="67"/>
      <c r="Y43" s="67"/>
      <c r="Z43" s="67"/>
      <c r="AA43" s="56"/>
    </row>
    <row r="44" spans="1:27" ht="15.75" thickBot="1" x14ac:dyDescent="0.3">
      <c r="A44" s="70" t="s">
        <v>319</v>
      </c>
      <c r="B44" s="67"/>
      <c r="C44" s="67"/>
      <c r="D44" s="67"/>
      <c r="E44" s="67"/>
      <c r="F44" s="67"/>
      <c r="G44" s="68"/>
      <c r="H44" s="67"/>
      <c r="I44" s="67"/>
      <c r="J44" s="67"/>
      <c r="K44" s="67"/>
      <c r="L44" s="67"/>
      <c r="M44" s="67"/>
      <c r="N44" s="67"/>
      <c r="O44" s="67"/>
      <c r="P44" s="67"/>
      <c r="Q44" s="67"/>
      <c r="R44" s="67"/>
      <c r="S44" s="67"/>
      <c r="T44" s="67"/>
      <c r="U44" s="67"/>
      <c r="V44" s="67"/>
      <c r="W44" s="67"/>
      <c r="X44" s="67"/>
      <c r="Y44" s="67"/>
      <c r="Z44" s="67"/>
      <c r="AA44" s="56"/>
    </row>
    <row r="45" spans="1:27" ht="18" x14ac:dyDescent="0.35">
      <c r="A45" s="71"/>
      <c r="B45" s="72"/>
      <c r="C45" s="72"/>
      <c r="D45" s="72"/>
      <c r="E45" s="72"/>
      <c r="F45" s="72"/>
      <c r="G45" s="93" t="s">
        <v>342</v>
      </c>
      <c r="H45" s="126">
        <f>Variable_Management!B161*(10^9)</f>
        <v>0</v>
      </c>
      <c r="I45" s="74" t="s">
        <v>218</v>
      </c>
      <c r="J45" s="67"/>
      <c r="K45" s="67"/>
      <c r="L45" s="67"/>
      <c r="M45" s="67"/>
      <c r="N45" s="67"/>
      <c r="O45" s="67"/>
      <c r="P45" s="67"/>
      <c r="Q45" s="67"/>
      <c r="R45" s="67"/>
      <c r="S45" s="67"/>
      <c r="T45" s="67"/>
      <c r="U45" s="67"/>
      <c r="V45" s="67"/>
      <c r="W45" s="67"/>
      <c r="X45" s="67"/>
      <c r="Y45" s="67"/>
      <c r="Z45" s="67"/>
      <c r="AA45" s="56"/>
    </row>
    <row r="46" spans="1:27" ht="18" x14ac:dyDescent="0.35">
      <c r="A46" s="75"/>
      <c r="B46" s="67"/>
      <c r="C46" s="67"/>
      <c r="D46" s="67"/>
      <c r="E46" s="67"/>
      <c r="F46" s="67"/>
      <c r="G46" s="68" t="s">
        <v>529</v>
      </c>
      <c r="H46" s="117">
        <v>20</v>
      </c>
      <c r="I46" s="77" t="s">
        <v>343</v>
      </c>
      <c r="J46" s="67"/>
      <c r="K46" s="67"/>
      <c r="L46" s="67"/>
      <c r="M46" s="67"/>
      <c r="N46" s="67"/>
      <c r="O46" s="67"/>
      <c r="P46" s="67"/>
      <c r="Q46" s="67"/>
      <c r="R46" s="67"/>
      <c r="S46" s="67"/>
      <c r="T46" s="67"/>
      <c r="U46" s="67"/>
      <c r="V46" s="67"/>
      <c r="W46" s="67"/>
      <c r="X46" s="67"/>
      <c r="Y46" s="67"/>
      <c r="Z46" s="67"/>
      <c r="AA46" s="56"/>
    </row>
    <row r="47" spans="1:27" ht="18.75" thickBot="1" x14ac:dyDescent="0.4">
      <c r="A47" s="88"/>
      <c r="B47" s="83"/>
      <c r="C47" s="83"/>
      <c r="D47" s="83"/>
      <c r="E47" s="83"/>
      <c r="F47" s="83"/>
      <c r="G47" s="91" t="s">
        <v>346</v>
      </c>
      <c r="H47" s="127">
        <f>Variable_Management!B163*(10^9)</f>
        <v>238.09523809523807</v>
      </c>
      <c r="I47" s="85" t="s">
        <v>218</v>
      </c>
      <c r="J47" s="67"/>
      <c r="K47" s="67"/>
      <c r="L47" s="67"/>
      <c r="M47" s="67"/>
      <c r="N47" s="67"/>
      <c r="O47" s="67"/>
      <c r="P47" s="67"/>
      <c r="Q47" s="67"/>
      <c r="R47" s="67"/>
      <c r="S47" s="67"/>
      <c r="T47" s="67"/>
      <c r="U47" s="67"/>
      <c r="V47" s="67"/>
      <c r="W47" s="67"/>
      <c r="X47" s="67"/>
      <c r="Y47" s="67"/>
      <c r="Z47" s="67"/>
      <c r="AA47" s="56"/>
    </row>
    <row r="48" spans="1:27" x14ac:dyDescent="0.25">
      <c r="A48" s="67"/>
      <c r="B48" s="67"/>
      <c r="C48" s="67"/>
      <c r="D48" s="67"/>
      <c r="E48" s="67"/>
      <c r="F48" s="67"/>
      <c r="G48" s="68"/>
      <c r="H48" s="67"/>
      <c r="I48" s="67"/>
      <c r="J48" s="67"/>
      <c r="K48" s="67"/>
      <c r="L48" s="67"/>
      <c r="M48" s="67"/>
      <c r="N48" s="67"/>
      <c r="O48" s="67"/>
      <c r="P48" s="67"/>
      <c r="Q48" s="67"/>
      <c r="R48" s="67"/>
      <c r="S48" s="67"/>
      <c r="T48" s="67"/>
      <c r="U48" s="67"/>
      <c r="V48" s="67"/>
      <c r="W48" s="67"/>
      <c r="X48" s="67"/>
      <c r="Y48" s="67"/>
      <c r="Z48" s="67"/>
      <c r="AA48" s="56"/>
    </row>
    <row r="49" spans="1:27" ht="15.75" thickBot="1" x14ac:dyDescent="0.3">
      <c r="A49" s="70" t="s">
        <v>320</v>
      </c>
      <c r="B49" s="67"/>
      <c r="C49" s="67"/>
      <c r="D49" s="67"/>
      <c r="E49" s="67"/>
      <c r="F49" s="67"/>
      <c r="G49" s="68"/>
      <c r="H49" s="67"/>
      <c r="I49" s="67"/>
      <c r="J49" s="67"/>
      <c r="K49" s="67"/>
      <c r="L49" s="67"/>
      <c r="M49" s="67"/>
      <c r="N49" s="67"/>
      <c r="O49" s="67"/>
      <c r="P49" s="67"/>
      <c r="Q49" s="67"/>
      <c r="R49" s="67"/>
      <c r="S49" s="67"/>
      <c r="T49" s="67"/>
      <c r="U49" s="67"/>
      <c r="V49" s="67"/>
      <c r="W49" s="67"/>
      <c r="X49" s="67"/>
      <c r="Y49" s="67"/>
      <c r="Z49" s="67"/>
      <c r="AA49" s="56"/>
    </row>
    <row r="50" spans="1:27" ht="18" x14ac:dyDescent="0.35">
      <c r="A50" s="71"/>
      <c r="B50" s="72"/>
      <c r="C50" s="72"/>
      <c r="D50" s="72"/>
      <c r="E50" s="72"/>
      <c r="F50" s="72"/>
      <c r="G50" s="93" t="s">
        <v>348</v>
      </c>
      <c r="H50" s="116">
        <v>22</v>
      </c>
      <c r="I50" s="74" t="s">
        <v>10</v>
      </c>
      <c r="J50" s="67"/>
      <c r="K50" s="67"/>
      <c r="L50" s="67"/>
      <c r="M50" s="67"/>
      <c r="N50" s="67"/>
      <c r="O50" s="67"/>
      <c r="P50" s="67"/>
      <c r="Q50" s="67"/>
      <c r="R50" s="67"/>
      <c r="S50" s="67"/>
      <c r="T50" s="67"/>
      <c r="U50" s="67"/>
      <c r="V50" s="67"/>
      <c r="W50" s="67"/>
      <c r="X50" s="67"/>
      <c r="Y50" s="67"/>
      <c r="Z50" s="67"/>
      <c r="AA50" s="56"/>
    </row>
    <row r="51" spans="1:27" ht="18" x14ac:dyDescent="0.35">
      <c r="A51" s="75"/>
      <c r="B51" s="67"/>
      <c r="C51" s="67"/>
      <c r="D51" s="67"/>
      <c r="E51" s="67"/>
      <c r="F51" s="67"/>
      <c r="G51" s="68" t="s">
        <v>347</v>
      </c>
      <c r="H51" s="117">
        <v>28</v>
      </c>
      <c r="I51" s="77" t="s">
        <v>10</v>
      </c>
      <c r="J51" s="67"/>
      <c r="K51" s="67"/>
      <c r="L51" s="67"/>
      <c r="M51" s="67"/>
      <c r="N51" s="67"/>
      <c r="O51" s="67"/>
      <c r="P51" s="67"/>
      <c r="Q51" s="115">
        <f>VIN_min</f>
        <v>21.6</v>
      </c>
      <c r="R51" s="67"/>
      <c r="S51" s="67"/>
      <c r="T51" s="67"/>
      <c r="U51" s="67"/>
      <c r="V51" s="67"/>
      <c r="W51" s="67"/>
      <c r="X51" s="67"/>
      <c r="Y51" s="67"/>
      <c r="Z51" s="67"/>
      <c r="AA51" s="56"/>
    </row>
    <row r="52" spans="1:27" ht="18" x14ac:dyDescent="0.35">
      <c r="A52" s="75"/>
      <c r="B52" s="67"/>
      <c r="C52" s="67"/>
      <c r="D52" s="67"/>
      <c r="E52" s="67"/>
      <c r="F52" s="67"/>
      <c r="G52" s="68" t="s">
        <v>463</v>
      </c>
      <c r="H52" s="125">
        <f>Ruvlo_top_calc/1000</f>
        <v>-1345.2</v>
      </c>
      <c r="I52" s="90" t="s">
        <v>215</v>
      </c>
      <c r="J52" s="67"/>
      <c r="K52" s="67"/>
      <c r="L52" s="67"/>
      <c r="M52" s="67"/>
      <c r="N52" s="67"/>
      <c r="O52" s="67"/>
      <c r="P52" s="67"/>
      <c r="Q52" s="67"/>
      <c r="R52" s="67"/>
      <c r="S52" s="67"/>
      <c r="T52" s="67"/>
      <c r="U52" s="67"/>
      <c r="V52" s="67"/>
      <c r="W52" s="67"/>
      <c r="X52" s="67"/>
      <c r="Y52" s="67"/>
      <c r="Z52" s="67"/>
      <c r="AA52" s="56"/>
    </row>
    <row r="53" spans="1:27" ht="18" x14ac:dyDescent="0.35">
      <c r="A53" s="75"/>
      <c r="B53" s="67"/>
      <c r="C53" s="67"/>
      <c r="D53" s="67"/>
      <c r="E53" s="67"/>
      <c r="F53" s="67"/>
      <c r="G53" s="68" t="s">
        <v>464</v>
      </c>
      <c r="H53" s="117">
        <v>0</v>
      </c>
      <c r="I53" s="90" t="s">
        <v>215</v>
      </c>
      <c r="J53" s="67"/>
      <c r="K53" s="67"/>
      <c r="L53" s="67"/>
      <c r="M53" s="67"/>
      <c r="N53" s="67"/>
      <c r="O53" s="67"/>
      <c r="P53" s="67"/>
      <c r="Q53" s="67"/>
      <c r="R53" s="67"/>
      <c r="S53" s="67"/>
      <c r="T53" s="67"/>
      <c r="U53" s="67"/>
      <c r="V53" s="67"/>
      <c r="W53" s="67"/>
      <c r="X53" s="67"/>
      <c r="Y53" s="67"/>
      <c r="Z53" s="67"/>
      <c r="AA53" s="56"/>
    </row>
    <row r="54" spans="1:27" ht="18.75" thickBot="1" x14ac:dyDescent="0.4">
      <c r="A54" s="88"/>
      <c r="B54" s="83"/>
      <c r="C54" s="83"/>
      <c r="D54" s="83"/>
      <c r="E54" s="83"/>
      <c r="F54" s="83"/>
      <c r="G54" s="91" t="s">
        <v>465</v>
      </c>
      <c r="H54" s="219" t="str">
        <f>IF(Ruvlo_bottom_calc/1000=0,"NA",Ruvlo_bottom_calc/1000)</f>
        <v>NA</v>
      </c>
      <c r="I54" s="92" t="s">
        <v>215</v>
      </c>
      <c r="J54" s="67"/>
      <c r="K54" s="67"/>
      <c r="L54" s="67"/>
      <c r="M54" s="67"/>
      <c r="N54" s="67"/>
      <c r="O54" s="67"/>
      <c r="P54" s="67"/>
      <c r="Q54" s="67"/>
      <c r="R54" s="67"/>
      <c r="S54" s="67"/>
      <c r="T54" s="67"/>
      <c r="U54" s="67"/>
      <c r="V54" s="67"/>
      <c r="W54" s="67"/>
      <c r="X54" s="67"/>
      <c r="Y54" s="67"/>
      <c r="Z54" s="67"/>
      <c r="AA54" s="56"/>
    </row>
    <row r="55" spans="1:27" x14ac:dyDescent="0.25">
      <c r="A55" s="67"/>
      <c r="B55" s="67"/>
      <c r="C55" s="67"/>
      <c r="D55" s="67"/>
      <c r="E55" s="67"/>
      <c r="F55" s="67"/>
      <c r="G55" s="68"/>
      <c r="H55" s="67"/>
      <c r="I55" s="67"/>
      <c r="J55" s="67"/>
      <c r="K55" s="67"/>
      <c r="L55" s="67"/>
      <c r="M55" s="67"/>
      <c r="N55" s="67"/>
      <c r="O55" s="67"/>
      <c r="P55" s="67"/>
      <c r="Q55" s="67"/>
      <c r="R55" s="67"/>
      <c r="S55" s="67"/>
      <c r="T55" s="67"/>
      <c r="U55" s="67"/>
      <c r="V55" s="67"/>
      <c r="W55" s="67"/>
      <c r="X55" s="67"/>
      <c r="Y55" s="67"/>
      <c r="Z55" s="67"/>
      <c r="AA55" s="56"/>
    </row>
    <row r="56" spans="1:27" ht="15.75" thickBot="1" x14ac:dyDescent="0.3">
      <c r="A56" s="70" t="s">
        <v>371</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56"/>
    </row>
    <row r="57" spans="1:27" ht="18" x14ac:dyDescent="0.35">
      <c r="A57" s="94"/>
      <c r="B57" s="72"/>
      <c r="C57" s="72"/>
      <c r="D57" s="72"/>
      <c r="E57" s="72"/>
      <c r="F57" s="72"/>
      <c r="G57" s="95" t="s">
        <v>489</v>
      </c>
      <c r="H57" s="128" t="str">
        <f>VIN_nom&amp;"V"</f>
        <v>24V</v>
      </c>
      <c r="I57" s="74"/>
      <c r="J57" s="67"/>
      <c r="K57" s="67"/>
      <c r="L57" s="67"/>
      <c r="M57" s="67"/>
      <c r="N57" s="67"/>
      <c r="O57" s="67"/>
      <c r="P57" s="67"/>
      <c r="Q57" s="67"/>
      <c r="R57" s="67"/>
      <c r="S57" s="67"/>
      <c r="T57" s="67"/>
      <c r="U57" s="67"/>
      <c r="V57" s="67"/>
      <c r="W57" s="67"/>
      <c r="X57" s="67"/>
      <c r="Y57" s="67"/>
      <c r="Z57" s="67"/>
      <c r="AA57" s="56"/>
    </row>
    <row r="58" spans="1:27" x14ac:dyDescent="0.25">
      <c r="A58" s="75"/>
      <c r="B58" s="67"/>
      <c r="C58" s="67"/>
      <c r="D58" s="67"/>
      <c r="E58" s="67"/>
      <c r="F58" s="67"/>
      <c r="G58" s="67"/>
      <c r="H58" s="129"/>
      <c r="I58" s="77"/>
      <c r="J58" s="67"/>
      <c r="K58" s="67"/>
      <c r="L58" s="67"/>
      <c r="M58" s="67"/>
      <c r="N58" s="67"/>
      <c r="O58" s="67"/>
      <c r="P58" s="67"/>
      <c r="Q58" s="67"/>
      <c r="R58" s="67"/>
      <c r="S58" s="67"/>
      <c r="T58" s="67"/>
      <c r="U58" s="67"/>
      <c r="V58" s="67"/>
      <c r="W58" s="67"/>
      <c r="X58" s="67"/>
      <c r="Y58" s="67"/>
      <c r="Z58" s="67"/>
      <c r="AA58" s="56"/>
    </row>
    <row r="59" spans="1:27" x14ac:dyDescent="0.25">
      <c r="A59" s="96"/>
      <c r="B59" s="67"/>
      <c r="C59" s="67"/>
      <c r="D59" s="67"/>
      <c r="E59" s="67"/>
      <c r="F59" s="67"/>
      <c r="G59" s="97" t="s">
        <v>216</v>
      </c>
      <c r="H59" s="119"/>
      <c r="I59" s="77"/>
      <c r="J59" s="67"/>
      <c r="K59" s="67"/>
      <c r="L59" s="67"/>
      <c r="M59" s="67"/>
      <c r="N59" s="67"/>
      <c r="O59" s="67"/>
      <c r="P59" s="67"/>
      <c r="Q59" s="67"/>
      <c r="R59" s="67"/>
      <c r="S59" s="67"/>
      <c r="T59" s="67"/>
      <c r="U59" s="67"/>
      <c r="V59" s="67"/>
      <c r="W59" s="67"/>
      <c r="X59" s="67"/>
      <c r="Y59" s="67"/>
      <c r="Z59" s="67"/>
      <c r="AA59" s="56"/>
    </row>
    <row r="60" spans="1:27" ht="18" x14ac:dyDescent="0.35">
      <c r="A60" s="96"/>
      <c r="B60" s="67"/>
      <c r="C60" s="67"/>
      <c r="D60" s="67"/>
      <c r="E60" s="67"/>
      <c r="F60" s="67"/>
      <c r="G60" s="68" t="s">
        <v>318</v>
      </c>
      <c r="H60" s="117">
        <v>130</v>
      </c>
      <c r="I60" s="90" t="s">
        <v>215</v>
      </c>
      <c r="J60" s="67"/>
      <c r="K60" s="67"/>
      <c r="L60" s="67"/>
      <c r="M60" s="67"/>
      <c r="N60" s="67"/>
      <c r="O60" s="67"/>
      <c r="P60" s="67"/>
      <c r="Q60" s="67"/>
      <c r="R60" s="67"/>
      <c r="S60" s="67"/>
      <c r="T60" s="67"/>
      <c r="U60" s="67"/>
      <c r="V60" s="67"/>
      <c r="W60" s="67"/>
      <c r="X60" s="67"/>
      <c r="Y60" s="67"/>
      <c r="Z60" s="67"/>
      <c r="AA60" s="56"/>
    </row>
    <row r="61" spans="1:27" ht="18" x14ac:dyDescent="0.35">
      <c r="A61" s="96"/>
      <c r="B61" s="67"/>
      <c r="C61" s="67"/>
      <c r="D61" s="67"/>
      <c r="E61" s="67"/>
      <c r="F61" s="67"/>
      <c r="G61" s="68" t="s">
        <v>294</v>
      </c>
      <c r="H61" s="125">
        <f>RFBB_calc/1000</f>
        <v>0.97014925373134331</v>
      </c>
      <c r="I61" s="90" t="s">
        <v>215</v>
      </c>
      <c r="J61" s="67"/>
      <c r="K61" s="67"/>
      <c r="L61" s="67"/>
      <c r="M61" s="67"/>
      <c r="N61" s="67"/>
      <c r="O61" s="67"/>
      <c r="P61" s="67"/>
      <c r="Q61" s="67"/>
      <c r="R61" s="67"/>
      <c r="S61" s="67"/>
      <c r="T61" s="67"/>
      <c r="U61" s="67"/>
      <c r="V61" s="67"/>
      <c r="W61" s="67"/>
      <c r="X61" s="67"/>
      <c r="Y61" s="67"/>
      <c r="Z61" s="67"/>
      <c r="AA61" s="56"/>
    </row>
    <row r="62" spans="1:27" ht="18" x14ac:dyDescent="0.35">
      <c r="A62" s="96"/>
      <c r="B62" s="67"/>
      <c r="C62" s="67"/>
      <c r="D62" s="67"/>
      <c r="E62" s="67"/>
      <c r="F62" s="67"/>
      <c r="G62" s="68" t="s">
        <v>530</v>
      </c>
      <c r="H62" s="117">
        <v>1.2</v>
      </c>
      <c r="I62" s="90" t="s">
        <v>215</v>
      </c>
      <c r="J62" s="67"/>
      <c r="K62" s="67"/>
      <c r="L62" s="67"/>
      <c r="M62" s="67"/>
      <c r="N62" s="67"/>
      <c r="O62" s="67"/>
      <c r="P62" s="67"/>
      <c r="Q62" s="67"/>
      <c r="R62" s="67"/>
      <c r="S62" s="67"/>
      <c r="T62" s="67"/>
      <c r="U62" s="67"/>
      <c r="V62" s="67"/>
      <c r="W62" s="67"/>
      <c r="X62" s="67"/>
      <c r="Y62" s="67"/>
      <c r="Z62" s="67"/>
      <c r="AA62" s="56"/>
    </row>
    <row r="63" spans="1:27" x14ac:dyDescent="0.25">
      <c r="A63" s="75"/>
      <c r="B63" s="67"/>
      <c r="C63" s="67"/>
      <c r="D63" s="67"/>
      <c r="E63" s="67"/>
      <c r="F63" s="67"/>
      <c r="G63" s="68"/>
      <c r="H63" s="119"/>
      <c r="I63" s="77"/>
      <c r="J63" s="67"/>
      <c r="K63" s="67"/>
      <c r="L63" s="67"/>
      <c r="M63" s="67"/>
      <c r="N63" s="67"/>
      <c r="O63" s="67"/>
      <c r="P63" s="67"/>
      <c r="Q63" s="67"/>
      <c r="R63" s="67"/>
      <c r="S63" s="67"/>
      <c r="T63" s="67"/>
      <c r="U63" s="67"/>
      <c r="V63" s="67"/>
      <c r="W63" s="67"/>
      <c r="X63" s="67"/>
      <c r="Y63" s="67"/>
      <c r="Z63" s="67"/>
      <c r="AA63" s="56"/>
    </row>
    <row r="64" spans="1:27" x14ac:dyDescent="0.25">
      <c r="A64" s="75"/>
      <c r="B64" s="67"/>
      <c r="C64" s="67"/>
      <c r="D64" s="67"/>
      <c r="E64" s="67"/>
      <c r="F64" s="67"/>
      <c r="G64" s="68"/>
      <c r="H64" s="119"/>
      <c r="I64" s="77"/>
      <c r="J64" s="67"/>
      <c r="K64" s="67"/>
      <c r="L64" s="67"/>
      <c r="M64" s="67"/>
      <c r="N64" s="67"/>
      <c r="O64" s="67"/>
      <c r="P64" s="67"/>
      <c r="Q64" s="67"/>
      <c r="R64" s="67"/>
      <c r="S64" s="67"/>
      <c r="T64" s="67"/>
      <c r="U64" s="67"/>
      <c r="V64" s="67"/>
      <c r="W64" s="67"/>
      <c r="X64" s="67"/>
      <c r="Y64" s="67"/>
      <c r="Z64" s="67"/>
      <c r="AA64" s="56"/>
    </row>
    <row r="65" spans="1:27" x14ac:dyDescent="0.25">
      <c r="A65" s="75"/>
      <c r="B65" s="67"/>
      <c r="C65" s="67"/>
      <c r="D65" s="67"/>
      <c r="E65" s="67"/>
      <c r="F65" s="67"/>
      <c r="G65" s="68" t="s">
        <v>550</v>
      </c>
      <c r="H65" s="220">
        <f>fcross_est/1000</f>
        <v>3.2355263725034731</v>
      </c>
      <c r="I65" s="77" t="s">
        <v>12</v>
      </c>
      <c r="J65" s="67"/>
      <c r="K65" s="67"/>
      <c r="L65" s="67"/>
      <c r="M65" s="67"/>
      <c r="N65" s="67"/>
      <c r="O65" s="67"/>
      <c r="P65" s="67"/>
      <c r="Q65" s="67"/>
      <c r="R65" s="67"/>
      <c r="S65" s="67"/>
      <c r="T65" s="67"/>
      <c r="U65" s="67"/>
      <c r="V65" s="67"/>
      <c r="W65" s="67"/>
      <c r="X65" s="67"/>
      <c r="Y65" s="67"/>
      <c r="Z65" s="67"/>
      <c r="AA65" s="56"/>
    </row>
    <row r="66" spans="1:27" ht="18" x14ac:dyDescent="0.35">
      <c r="A66" s="75"/>
      <c r="B66" s="67"/>
      <c r="C66" s="67"/>
      <c r="D66" s="67"/>
      <c r="E66" s="67"/>
      <c r="F66" s="67"/>
      <c r="G66" s="68" t="s">
        <v>551</v>
      </c>
      <c r="H66" s="117">
        <v>2</v>
      </c>
      <c r="I66" s="77" t="s">
        <v>12</v>
      </c>
      <c r="J66" s="67"/>
      <c r="K66" s="67"/>
      <c r="L66" s="67"/>
      <c r="M66" s="67"/>
      <c r="N66" s="67"/>
      <c r="O66" s="67"/>
      <c r="P66" s="67"/>
      <c r="Q66" s="67"/>
      <c r="R66" s="67"/>
      <c r="S66" s="67"/>
      <c r="T66" s="67"/>
      <c r="U66" s="67"/>
      <c r="V66" s="67"/>
      <c r="W66" s="67"/>
      <c r="X66" s="67"/>
      <c r="Y66" s="67"/>
      <c r="Z66" s="67"/>
      <c r="AA66" s="56"/>
    </row>
    <row r="67" spans="1:27" x14ac:dyDescent="0.25">
      <c r="A67" s="75"/>
      <c r="B67" s="67"/>
      <c r="C67" s="67"/>
      <c r="D67" s="67"/>
      <c r="E67" s="67"/>
      <c r="F67" s="67"/>
      <c r="G67" s="68"/>
      <c r="H67" s="119"/>
      <c r="I67" s="77"/>
      <c r="J67" s="67"/>
      <c r="K67" s="67"/>
      <c r="L67" s="67" t="e">
        <f>Loop_Modeling!A68</f>
        <v>#DIV/0!</v>
      </c>
      <c r="M67" s="67"/>
      <c r="N67" s="67"/>
      <c r="O67" s="67"/>
      <c r="P67" s="67"/>
      <c r="Q67" s="67"/>
      <c r="R67" s="67"/>
      <c r="S67" s="67"/>
      <c r="T67" s="67"/>
      <c r="U67" s="67"/>
      <c r="V67" s="67"/>
      <c r="W67" s="67"/>
      <c r="X67" s="67"/>
      <c r="Y67" s="67"/>
      <c r="Z67" s="67"/>
      <c r="AA67" s="56"/>
    </row>
    <row r="68" spans="1:27" ht="15.75" thickBot="1" x14ac:dyDescent="0.3">
      <c r="A68" s="75"/>
      <c r="B68" s="67"/>
      <c r="C68" s="67"/>
      <c r="D68" s="67"/>
      <c r="E68" s="67"/>
      <c r="F68" s="99" t="s">
        <v>323</v>
      </c>
      <c r="G68" s="99"/>
      <c r="H68" s="130" t="s">
        <v>324</v>
      </c>
      <c r="I68" s="100"/>
      <c r="J68" s="67"/>
      <c r="K68" s="67"/>
      <c r="L68" s="67" t="e">
        <f>Loop_Modeling!A69</f>
        <v>#DIV/0!</v>
      </c>
      <c r="M68" s="67"/>
      <c r="N68" s="67"/>
      <c r="O68" s="67"/>
      <c r="P68" s="67"/>
      <c r="Q68" s="67"/>
      <c r="R68" s="67"/>
      <c r="S68" s="67"/>
      <c r="T68" s="67"/>
      <c r="U68" s="67"/>
      <c r="V68" s="67"/>
      <c r="W68" s="67"/>
      <c r="X68" s="67"/>
      <c r="Y68" s="67"/>
      <c r="Z68" s="67"/>
      <c r="AA68" s="56"/>
    </row>
    <row r="69" spans="1:27" ht="18.75" thickBot="1" x14ac:dyDescent="0.4">
      <c r="A69" s="75"/>
      <c r="B69" s="67"/>
      <c r="C69" s="67"/>
      <c r="D69" s="67"/>
      <c r="E69" s="68" t="s">
        <v>322</v>
      </c>
      <c r="F69" s="141" t="e">
        <f>Rcomp_calc/1000</f>
        <v>#DIV/0!</v>
      </c>
      <c r="G69" s="135" t="s">
        <v>215</v>
      </c>
      <c r="H69" s="132">
        <v>10</v>
      </c>
      <c r="I69" s="90" t="s">
        <v>215</v>
      </c>
      <c r="J69" s="67"/>
      <c r="K69" s="67"/>
      <c r="L69" s="67"/>
      <c r="M69" s="67"/>
      <c r="N69" s="67"/>
      <c r="O69" s="67"/>
      <c r="P69" s="67"/>
      <c r="Q69" s="67"/>
      <c r="R69" s="67"/>
      <c r="S69" s="67"/>
      <c r="T69" s="67"/>
      <c r="U69" s="67"/>
      <c r="V69" s="67"/>
      <c r="W69" s="67"/>
      <c r="X69" s="67"/>
      <c r="Y69" s="67"/>
      <c r="Z69" s="67"/>
      <c r="AA69" s="56"/>
    </row>
    <row r="70" spans="1:27" ht="18.75" thickBot="1" x14ac:dyDescent="0.4">
      <c r="A70" s="75"/>
      <c r="B70" s="67"/>
      <c r="C70" s="67"/>
      <c r="D70" s="67"/>
      <c r="E70" s="68" t="s">
        <v>448</v>
      </c>
      <c r="F70" s="133" t="e">
        <f>CComp_calc*(10^9)</f>
        <v>#DIV/0!</v>
      </c>
      <c r="G70" s="135" t="s">
        <v>218</v>
      </c>
      <c r="H70" s="132">
        <v>22</v>
      </c>
      <c r="I70" s="77" t="s">
        <v>218</v>
      </c>
      <c r="J70" s="67"/>
      <c r="K70" s="67"/>
      <c r="L70" s="67"/>
      <c r="M70" s="67"/>
      <c r="N70" s="67"/>
      <c r="O70" s="67"/>
      <c r="P70" s="67"/>
      <c r="Q70" s="67"/>
      <c r="R70" s="67"/>
      <c r="S70" s="67"/>
      <c r="T70" s="67"/>
      <c r="U70" s="67"/>
      <c r="V70" s="67"/>
      <c r="W70" s="67"/>
      <c r="X70" s="67"/>
      <c r="Y70" s="67"/>
      <c r="Z70" s="67"/>
      <c r="AA70" s="56"/>
    </row>
    <row r="71" spans="1:27" ht="18.75" thickBot="1" x14ac:dyDescent="0.4">
      <c r="A71" s="88"/>
      <c r="B71" s="83"/>
      <c r="C71" s="83"/>
      <c r="D71" s="83"/>
      <c r="E71" s="91" t="s">
        <v>449</v>
      </c>
      <c r="F71" s="131" t="e">
        <f>Variable_Management!B231*(10^12)</f>
        <v>#DIV/0!</v>
      </c>
      <c r="G71" s="136" t="s">
        <v>217</v>
      </c>
      <c r="H71" s="124">
        <v>220</v>
      </c>
      <c r="I71" s="85" t="s">
        <v>217</v>
      </c>
      <c r="J71" s="67"/>
      <c r="K71" s="67"/>
      <c r="L71" s="67"/>
      <c r="M71" s="67"/>
      <c r="N71" s="67"/>
      <c r="O71" s="67"/>
      <c r="P71" s="67"/>
      <c r="Q71" s="67"/>
      <c r="R71" s="67"/>
      <c r="S71" s="67"/>
      <c r="T71" s="67"/>
      <c r="U71" s="67"/>
      <c r="V71" s="67"/>
      <c r="W71" s="67"/>
      <c r="X71" s="67"/>
      <c r="Y71" s="67"/>
      <c r="Z71" s="67"/>
      <c r="AA71" s="56"/>
    </row>
    <row r="72" spans="1:27" x14ac:dyDescent="0.25">
      <c r="A72" s="67"/>
      <c r="B72" s="67"/>
      <c r="C72" s="67"/>
      <c r="D72" s="67"/>
      <c r="E72" s="68"/>
      <c r="F72" s="101"/>
      <c r="G72" s="68"/>
      <c r="H72" s="98"/>
      <c r="I72" s="67"/>
      <c r="J72" s="67"/>
      <c r="K72" s="67"/>
      <c r="L72" s="67"/>
      <c r="M72" s="67"/>
      <c r="N72" s="67"/>
      <c r="O72" s="67"/>
      <c r="P72" s="67"/>
      <c r="Q72" s="67"/>
      <c r="R72" s="67"/>
      <c r="S72" s="67"/>
      <c r="T72" s="67"/>
      <c r="U72" s="67"/>
      <c r="V72" s="67"/>
      <c r="W72" s="67"/>
      <c r="X72" s="67"/>
      <c r="Y72" s="67"/>
      <c r="Z72" s="67"/>
      <c r="AA72" s="56"/>
    </row>
    <row r="73" spans="1:27" ht="23.25" x14ac:dyDescent="0.35">
      <c r="A73" s="102" t="s">
        <v>321</v>
      </c>
      <c r="B73" s="103"/>
      <c r="C73" s="103"/>
      <c r="D73" s="103"/>
      <c r="E73" s="103"/>
      <c r="F73" s="103"/>
      <c r="G73" s="104"/>
      <c r="H73" s="103"/>
      <c r="I73" s="103"/>
      <c r="J73" s="103"/>
      <c r="K73" s="103"/>
      <c r="L73" s="103"/>
      <c r="M73" s="103"/>
      <c r="N73" s="103"/>
      <c r="O73" s="103"/>
      <c r="P73" s="103"/>
      <c r="Q73" s="103"/>
      <c r="R73" s="103"/>
      <c r="S73" s="103"/>
      <c r="T73" s="105"/>
      <c r="U73" s="105"/>
      <c r="V73" s="105"/>
      <c r="W73" s="105"/>
      <c r="X73" s="105"/>
      <c r="Y73" s="105"/>
      <c r="Z73" s="105"/>
    </row>
    <row r="74" spans="1:27" x14ac:dyDescent="0.25">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56"/>
    </row>
    <row r="75" spans="1:27" ht="15.75" thickBot="1" x14ac:dyDescent="0.3">
      <c r="A75" s="106" t="s">
        <v>399</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56"/>
    </row>
    <row r="76" spans="1:27" ht="15.75" x14ac:dyDescent="0.3">
      <c r="A76" s="71"/>
      <c r="B76" s="72"/>
      <c r="C76" s="72"/>
      <c r="D76" s="72"/>
      <c r="E76" s="72"/>
      <c r="F76" s="72"/>
      <c r="G76" s="107" t="s">
        <v>387</v>
      </c>
      <c r="H76" s="116">
        <v>280</v>
      </c>
      <c r="I76" s="108" t="s">
        <v>394</v>
      </c>
      <c r="J76" s="98"/>
      <c r="K76" s="98"/>
      <c r="L76" s="98"/>
      <c r="M76" s="98"/>
      <c r="N76" s="98"/>
      <c r="O76" s="98"/>
      <c r="P76" s="98"/>
      <c r="Q76" s="98"/>
      <c r="R76" s="98"/>
      <c r="S76" s="98"/>
      <c r="T76" s="98"/>
      <c r="U76" s="98"/>
      <c r="V76" s="98"/>
      <c r="W76" s="98"/>
      <c r="X76" s="98"/>
      <c r="Y76" s="98"/>
      <c r="Z76" s="98"/>
      <c r="AA76" s="56"/>
    </row>
    <row r="77" spans="1:27" ht="15.75" x14ac:dyDescent="0.3">
      <c r="A77" s="96"/>
      <c r="B77" s="67"/>
      <c r="C77" s="67"/>
      <c r="D77" s="67"/>
      <c r="E77" s="67"/>
      <c r="F77" s="67"/>
      <c r="G77" s="109" t="s">
        <v>388</v>
      </c>
      <c r="H77" s="117">
        <v>15.3</v>
      </c>
      <c r="I77" s="110" t="s">
        <v>395</v>
      </c>
      <c r="J77" s="98"/>
      <c r="K77" s="98"/>
      <c r="L77" s="98"/>
      <c r="M77" s="98"/>
      <c r="N77" s="98"/>
      <c r="O77" s="98"/>
      <c r="P77" s="98"/>
      <c r="Q77" s="98"/>
      <c r="R77" s="98"/>
      <c r="S77" s="98"/>
      <c r="T77" s="98"/>
      <c r="U77" s="98"/>
      <c r="V77" s="98"/>
      <c r="W77" s="98"/>
      <c r="X77" s="98"/>
      <c r="Y77" s="98"/>
      <c r="Z77" s="98"/>
      <c r="AA77" s="56"/>
    </row>
    <row r="78" spans="1:27" ht="15.75" x14ac:dyDescent="0.3">
      <c r="A78" s="96"/>
      <c r="B78" s="67"/>
      <c r="C78" s="67"/>
      <c r="D78" s="67"/>
      <c r="E78" s="67"/>
      <c r="F78" s="67"/>
      <c r="G78" s="109" t="s">
        <v>389</v>
      </c>
      <c r="H78" s="117">
        <v>5.2</v>
      </c>
      <c r="I78" s="110" t="s">
        <v>395</v>
      </c>
      <c r="J78" s="98"/>
      <c r="K78" s="98"/>
      <c r="L78" s="98"/>
      <c r="M78" s="98"/>
      <c r="N78" s="98"/>
      <c r="O78" s="98"/>
      <c r="P78" s="98"/>
      <c r="Q78" s="98"/>
      <c r="R78" s="98"/>
      <c r="S78" s="98"/>
      <c r="T78" s="98"/>
      <c r="U78" s="98"/>
      <c r="V78" s="98"/>
      <c r="W78" s="98"/>
      <c r="X78" s="98"/>
      <c r="Y78" s="98"/>
      <c r="Z78" s="98"/>
      <c r="AA78" s="56"/>
    </row>
    <row r="79" spans="1:27" ht="15.75" x14ac:dyDescent="0.3">
      <c r="A79" s="75"/>
      <c r="B79" s="67"/>
      <c r="C79" s="67"/>
      <c r="D79" s="67"/>
      <c r="E79" s="67"/>
      <c r="F79" s="67"/>
      <c r="G79" s="109" t="s">
        <v>390</v>
      </c>
      <c r="H79" s="117">
        <v>3.7</v>
      </c>
      <c r="I79" s="110" t="s">
        <v>395</v>
      </c>
      <c r="J79" s="98"/>
      <c r="K79" s="98"/>
      <c r="L79" s="98"/>
      <c r="M79" s="98"/>
      <c r="N79" s="98"/>
      <c r="O79" s="98"/>
      <c r="P79" s="98"/>
      <c r="Q79" s="98"/>
      <c r="R79" s="98"/>
      <c r="S79" s="98"/>
      <c r="T79" s="98"/>
      <c r="U79" s="98"/>
      <c r="V79" s="98"/>
      <c r="W79" s="98"/>
      <c r="X79" s="98"/>
      <c r="Y79" s="98"/>
      <c r="Z79" s="98"/>
      <c r="AA79" s="56"/>
    </row>
    <row r="80" spans="1:27" ht="15.75" x14ac:dyDescent="0.3">
      <c r="A80" s="75"/>
      <c r="B80" s="67"/>
      <c r="C80" s="67"/>
      <c r="D80" s="67"/>
      <c r="E80" s="67"/>
      <c r="F80" s="67"/>
      <c r="G80" s="109" t="s">
        <v>391</v>
      </c>
      <c r="H80" s="117">
        <v>11</v>
      </c>
      <c r="I80" s="110" t="s">
        <v>396</v>
      </c>
      <c r="J80" s="98"/>
      <c r="K80" s="98"/>
      <c r="L80" s="98"/>
      <c r="M80" s="98"/>
      <c r="N80" s="98"/>
      <c r="O80" s="98"/>
      <c r="P80" s="98"/>
      <c r="Q80" s="98"/>
      <c r="R80" s="98"/>
      <c r="S80" s="98"/>
      <c r="T80" s="98"/>
      <c r="U80" s="98"/>
      <c r="V80" s="98"/>
      <c r="W80" s="98"/>
      <c r="X80" s="98"/>
      <c r="Y80" s="98"/>
      <c r="Z80" s="98"/>
      <c r="AA80" s="56"/>
    </row>
    <row r="81" spans="1:27" ht="15.75" x14ac:dyDescent="0.3">
      <c r="A81" s="75"/>
      <c r="B81" s="67"/>
      <c r="C81" s="67"/>
      <c r="D81" s="67"/>
      <c r="E81" s="67"/>
      <c r="F81" s="67"/>
      <c r="G81" s="109" t="s">
        <v>392</v>
      </c>
      <c r="H81" s="117">
        <v>60</v>
      </c>
      <c r="I81" s="110" t="s">
        <v>397</v>
      </c>
      <c r="J81" s="98"/>
      <c r="K81" s="98"/>
      <c r="L81" s="98"/>
      <c r="M81" s="98"/>
      <c r="N81" s="98"/>
      <c r="O81" s="98"/>
      <c r="P81" s="98"/>
      <c r="Q81" s="98"/>
      <c r="R81" s="98"/>
      <c r="S81" s="98"/>
      <c r="T81" s="98"/>
      <c r="U81" s="98"/>
      <c r="V81" s="98"/>
      <c r="W81" s="98"/>
      <c r="X81" s="98"/>
      <c r="Y81" s="98"/>
      <c r="Z81" s="98"/>
      <c r="AA81" s="56"/>
    </row>
    <row r="82" spans="1:27" ht="16.5" thickBot="1" x14ac:dyDescent="0.35">
      <c r="A82" s="88"/>
      <c r="B82" s="83"/>
      <c r="C82" s="83"/>
      <c r="D82" s="83"/>
      <c r="E82" s="83"/>
      <c r="F82" s="83"/>
      <c r="G82" s="111" t="s">
        <v>393</v>
      </c>
      <c r="H82" s="124">
        <v>4</v>
      </c>
      <c r="I82" s="112" t="s">
        <v>10</v>
      </c>
      <c r="J82" s="98"/>
      <c r="K82" s="98"/>
      <c r="L82" s="98"/>
      <c r="M82" s="98"/>
      <c r="N82" s="98"/>
      <c r="O82" s="98"/>
      <c r="P82" s="98"/>
      <c r="Q82" s="98"/>
      <c r="R82" s="98"/>
      <c r="S82" s="98"/>
      <c r="T82" s="98"/>
      <c r="U82" s="98"/>
      <c r="V82" s="98"/>
      <c r="W82" s="98"/>
      <c r="X82" s="98"/>
      <c r="Y82" s="98"/>
      <c r="Z82" s="98"/>
      <c r="AA82" s="56"/>
    </row>
    <row r="83" spans="1:27" x14ac:dyDescent="0.25">
      <c r="A83" s="67"/>
      <c r="B83" s="67"/>
      <c r="C83" s="67"/>
      <c r="D83" s="67"/>
      <c r="E83" s="67"/>
      <c r="F83" s="67"/>
      <c r="G83" s="68"/>
      <c r="H83" s="67"/>
      <c r="I83" s="67"/>
      <c r="J83" s="67"/>
      <c r="K83" s="67"/>
      <c r="L83" s="67"/>
      <c r="M83" s="67"/>
      <c r="N83" s="67"/>
      <c r="O83" s="67"/>
      <c r="P83" s="67"/>
      <c r="Q83" s="67"/>
      <c r="R83" s="67"/>
      <c r="S83" s="67"/>
      <c r="T83" s="67"/>
      <c r="U83" s="67"/>
      <c r="V83" s="67"/>
      <c r="W83" s="67"/>
      <c r="X83" s="67"/>
      <c r="Y83" s="67"/>
      <c r="Z83" s="67"/>
      <c r="AA83" s="56"/>
    </row>
    <row r="84" spans="1:27" ht="15.75" thickBot="1" x14ac:dyDescent="0.3">
      <c r="A84" s="106" t="s">
        <v>398</v>
      </c>
      <c r="B84" s="67"/>
      <c r="C84" s="67"/>
      <c r="D84" s="67"/>
      <c r="E84" s="67"/>
      <c r="F84" s="67"/>
      <c r="G84" s="68"/>
      <c r="H84" s="67"/>
      <c r="I84" s="67"/>
      <c r="J84" s="67"/>
      <c r="K84" s="67"/>
      <c r="L84" s="67"/>
      <c r="M84" s="67"/>
      <c r="N84" s="67"/>
      <c r="O84" s="67"/>
      <c r="P84" s="67"/>
      <c r="Q84" s="67"/>
      <c r="R84" s="67"/>
      <c r="S84" s="67"/>
      <c r="T84" s="67"/>
      <c r="U84" s="67"/>
      <c r="V84" s="67"/>
      <c r="W84" s="67"/>
      <c r="X84" s="67"/>
      <c r="Y84" s="67"/>
      <c r="Z84" s="67"/>
      <c r="AA84" s="56"/>
    </row>
    <row r="85" spans="1:27" ht="18" x14ac:dyDescent="0.35">
      <c r="A85" s="71"/>
      <c r="B85" s="72"/>
      <c r="C85" s="72"/>
      <c r="D85" s="72"/>
      <c r="E85" s="72"/>
      <c r="F85" s="72"/>
      <c r="G85" s="93" t="s">
        <v>492</v>
      </c>
      <c r="H85" s="134">
        <f>IOUT</f>
        <v>0.05</v>
      </c>
      <c r="I85" s="74" t="s">
        <v>11</v>
      </c>
      <c r="J85" s="98"/>
      <c r="K85" s="98"/>
      <c r="L85" s="98"/>
      <c r="M85" s="98"/>
      <c r="N85" s="98"/>
      <c r="O85" s="98"/>
      <c r="P85" s="98"/>
      <c r="Q85" s="98"/>
      <c r="R85" s="98"/>
      <c r="S85" s="98"/>
      <c r="T85" s="98"/>
      <c r="U85" s="98"/>
      <c r="V85" s="98"/>
      <c r="W85" s="98"/>
      <c r="X85" s="98"/>
      <c r="Y85" s="98"/>
      <c r="Z85" s="98"/>
      <c r="AA85" s="56"/>
    </row>
    <row r="86" spans="1:27" ht="18" x14ac:dyDescent="0.35">
      <c r="A86" s="75"/>
      <c r="B86" s="67"/>
      <c r="C86" s="67"/>
      <c r="D86" s="67"/>
      <c r="E86" s="67"/>
      <c r="F86" s="67"/>
      <c r="G86" s="68" t="s">
        <v>400</v>
      </c>
      <c r="H86" s="117">
        <v>800</v>
      </c>
      <c r="I86" s="77" t="s">
        <v>186</v>
      </c>
      <c r="J86" s="98"/>
      <c r="K86" s="98"/>
      <c r="L86" s="98"/>
      <c r="M86" s="98"/>
      <c r="N86" s="98"/>
      <c r="O86" s="98"/>
      <c r="P86" s="98"/>
      <c r="Q86" s="98"/>
      <c r="R86" s="98"/>
      <c r="S86" s="98"/>
      <c r="T86" s="98"/>
      <c r="U86" s="98"/>
      <c r="V86" s="98"/>
      <c r="W86" s="98"/>
      <c r="X86" s="98"/>
      <c r="Y86" s="98"/>
      <c r="Z86" s="98"/>
      <c r="AA86" s="56"/>
    </row>
    <row r="87" spans="1:27" ht="15.75" thickBot="1" x14ac:dyDescent="0.3">
      <c r="A87" s="88"/>
      <c r="B87" s="83"/>
      <c r="C87" s="83"/>
      <c r="D87" s="83"/>
      <c r="E87" s="83"/>
      <c r="F87" s="83"/>
      <c r="G87" s="91" t="s">
        <v>408</v>
      </c>
      <c r="H87" s="124">
        <v>10</v>
      </c>
      <c r="I87" s="85" t="s">
        <v>395</v>
      </c>
      <c r="J87" s="98"/>
      <c r="K87" s="98"/>
      <c r="L87" s="98"/>
      <c r="M87" s="98"/>
      <c r="N87" s="98"/>
      <c r="O87" s="98"/>
      <c r="P87" s="98"/>
      <c r="Q87" s="98"/>
      <c r="R87" s="98"/>
      <c r="S87" s="98"/>
      <c r="T87" s="98"/>
      <c r="U87" s="98"/>
      <c r="V87" s="98"/>
      <c r="W87" s="98"/>
      <c r="X87" s="98"/>
      <c r="Y87" s="98"/>
      <c r="Z87" s="98"/>
      <c r="AA87" s="56"/>
    </row>
    <row r="88" spans="1:27" x14ac:dyDescent="0.25">
      <c r="A88" s="67"/>
      <c r="B88" s="67"/>
      <c r="C88" s="67"/>
      <c r="D88" s="67"/>
      <c r="E88" s="67"/>
      <c r="F88" s="67"/>
      <c r="G88" s="68"/>
      <c r="H88" s="67"/>
      <c r="I88" s="67"/>
      <c r="J88" s="67"/>
      <c r="K88" s="67"/>
      <c r="L88" s="67"/>
      <c r="M88" s="67"/>
      <c r="N88" s="67"/>
      <c r="O88" s="67"/>
      <c r="P88" s="67"/>
      <c r="Q88" s="67"/>
      <c r="R88" s="67"/>
      <c r="S88" s="67"/>
      <c r="T88" s="67"/>
      <c r="U88" s="67"/>
      <c r="V88" s="67"/>
      <c r="W88" s="67"/>
      <c r="X88" s="67"/>
      <c r="Y88" s="67"/>
      <c r="Z88" s="67"/>
      <c r="AA88" s="56"/>
    </row>
    <row r="89" spans="1:27" x14ac:dyDescent="0.25">
      <c r="A89" s="67"/>
      <c r="B89" s="67"/>
      <c r="C89" s="67"/>
      <c r="D89" s="67"/>
      <c r="E89" s="67"/>
      <c r="F89" s="67"/>
      <c r="G89" s="68"/>
      <c r="H89" s="67"/>
      <c r="I89" s="67"/>
      <c r="J89" s="67"/>
      <c r="K89" s="67"/>
      <c r="L89" s="67"/>
      <c r="M89" s="67"/>
      <c r="N89" s="67"/>
      <c r="O89" s="67"/>
      <c r="P89" s="67"/>
      <c r="Q89" s="67"/>
      <c r="R89" s="67"/>
      <c r="S89" s="67"/>
      <c r="T89" s="67"/>
      <c r="U89" s="67"/>
      <c r="V89" s="67"/>
      <c r="W89" s="67"/>
      <c r="X89" s="67"/>
      <c r="Y89" s="67"/>
      <c r="Z89" s="67"/>
      <c r="AA89" s="56"/>
    </row>
    <row r="90" spans="1:27" x14ac:dyDescent="0.25">
      <c r="A90" s="67"/>
      <c r="B90" s="67"/>
      <c r="C90" s="67"/>
      <c r="D90" s="67"/>
      <c r="E90" s="67"/>
      <c r="F90" s="67"/>
      <c r="G90" s="68"/>
      <c r="H90" s="67"/>
      <c r="I90" s="67"/>
      <c r="J90" s="67"/>
      <c r="K90" s="67"/>
      <c r="L90" s="67"/>
      <c r="M90" s="67"/>
      <c r="N90" s="67"/>
      <c r="O90" s="67"/>
      <c r="P90" s="67"/>
      <c r="Q90" s="67"/>
      <c r="R90" s="67"/>
      <c r="S90" s="67"/>
      <c r="T90" s="67"/>
      <c r="U90" s="67"/>
      <c r="V90" s="67"/>
      <c r="W90" s="67"/>
      <c r="X90" s="67"/>
      <c r="Y90" s="67"/>
      <c r="Z90" s="67"/>
      <c r="AA90" s="56"/>
    </row>
    <row r="91" spans="1:27" x14ac:dyDescent="0.25">
      <c r="A91" s="67"/>
      <c r="B91" s="67"/>
      <c r="C91" s="67"/>
      <c r="D91" s="67"/>
      <c r="E91" s="67"/>
      <c r="F91" s="67"/>
      <c r="G91" s="68"/>
      <c r="H91" s="67"/>
      <c r="I91" s="67"/>
      <c r="J91" s="67"/>
      <c r="K91" s="67"/>
      <c r="L91" s="67"/>
      <c r="M91" s="67"/>
      <c r="N91" s="67"/>
      <c r="O91" s="67"/>
      <c r="P91" s="67"/>
      <c r="Q91" s="67"/>
      <c r="R91" s="67"/>
      <c r="S91" s="67"/>
      <c r="T91" s="67"/>
      <c r="U91" s="67"/>
      <c r="V91" s="67"/>
      <c r="W91" s="67"/>
      <c r="X91" s="67"/>
      <c r="Y91" s="67"/>
      <c r="Z91" s="67"/>
      <c r="AA91" s="56"/>
    </row>
    <row r="92" spans="1:27" x14ac:dyDescent="0.25">
      <c r="A92" s="67"/>
      <c r="B92" s="67"/>
      <c r="C92" s="67"/>
      <c r="D92" s="67"/>
      <c r="E92" s="67"/>
      <c r="F92" s="67"/>
      <c r="G92" s="68"/>
      <c r="H92" s="67"/>
      <c r="I92" s="67"/>
      <c r="J92" s="67"/>
      <c r="K92" s="67"/>
      <c r="L92" s="67"/>
      <c r="M92" s="67"/>
      <c r="N92" s="67"/>
      <c r="O92" s="67"/>
      <c r="P92" s="67"/>
      <c r="Q92" s="67"/>
      <c r="R92" s="67"/>
      <c r="S92" s="67"/>
      <c r="T92" s="67"/>
      <c r="U92" s="67"/>
      <c r="V92" s="67"/>
      <c r="W92" s="67"/>
      <c r="X92" s="67"/>
      <c r="Y92" s="67"/>
      <c r="Z92" s="67"/>
      <c r="AA92" s="56"/>
    </row>
    <row r="93" spans="1:27" x14ac:dyDescent="0.25">
      <c r="A93" s="67"/>
      <c r="B93" s="67"/>
      <c r="C93" s="67"/>
      <c r="D93" s="67"/>
      <c r="E93" s="67"/>
      <c r="F93" s="67"/>
      <c r="G93" s="68"/>
      <c r="H93" s="67"/>
      <c r="I93" s="67"/>
      <c r="J93" s="67"/>
      <c r="K93" s="67"/>
      <c r="L93" s="67"/>
      <c r="M93" s="67"/>
      <c r="N93" s="67"/>
      <c r="O93" s="67"/>
      <c r="P93" s="67"/>
      <c r="Q93" s="67"/>
      <c r="R93" s="67"/>
      <c r="S93" s="67"/>
      <c r="T93" s="67"/>
      <c r="U93" s="67"/>
      <c r="V93" s="67"/>
      <c r="W93" s="67"/>
      <c r="X93" s="67"/>
      <c r="Y93" s="67"/>
      <c r="Z93" s="67"/>
      <c r="AA93" s="56"/>
    </row>
    <row r="94" spans="1:27" x14ac:dyDescent="0.25">
      <c r="A94" s="67"/>
      <c r="B94" s="67"/>
      <c r="C94" s="67"/>
      <c r="D94" s="67"/>
      <c r="E94" s="67"/>
      <c r="F94" s="67"/>
      <c r="G94" s="68"/>
      <c r="H94" s="67"/>
      <c r="I94" s="67"/>
      <c r="J94" s="67"/>
      <c r="K94" s="67"/>
      <c r="L94" s="67"/>
      <c r="M94" s="67"/>
      <c r="N94" s="67"/>
      <c r="O94" s="67"/>
      <c r="P94" s="67"/>
      <c r="Q94" s="67"/>
      <c r="R94" s="67"/>
      <c r="S94" s="67"/>
      <c r="T94" s="67"/>
      <c r="U94" s="67"/>
      <c r="V94" s="67"/>
      <c r="W94" s="67"/>
      <c r="X94" s="67"/>
      <c r="Y94" s="67"/>
      <c r="Z94" s="67"/>
      <c r="AA94" s="56"/>
    </row>
    <row r="95" spans="1:27" x14ac:dyDescent="0.25">
      <c r="A95" s="67"/>
      <c r="B95" s="67"/>
      <c r="C95" s="67"/>
      <c r="D95" s="67"/>
      <c r="E95" s="67"/>
      <c r="F95" s="67"/>
      <c r="G95" s="68"/>
      <c r="H95" s="67"/>
      <c r="I95" s="67"/>
      <c r="J95" s="67"/>
      <c r="K95" s="67"/>
      <c r="L95" s="67"/>
      <c r="M95" s="67"/>
      <c r="N95" s="67"/>
      <c r="O95" s="67"/>
      <c r="P95" s="67"/>
      <c r="Q95" s="67"/>
      <c r="R95" s="67"/>
      <c r="S95" s="67"/>
      <c r="T95" s="67"/>
      <c r="U95" s="67"/>
      <c r="V95" s="67"/>
      <c r="W95" s="67"/>
      <c r="X95" s="67"/>
      <c r="Y95" s="67"/>
      <c r="Z95" s="67"/>
      <c r="AA95" s="56"/>
    </row>
    <row r="96" spans="1:27" x14ac:dyDescent="0.25">
      <c r="A96" s="67"/>
      <c r="B96" s="67"/>
      <c r="C96" s="67"/>
      <c r="D96" s="67"/>
      <c r="E96" s="67"/>
      <c r="F96" s="67"/>
      <c r="G96" s="68"/>
      <c r="H96" s="67"/>
      <c r="I96" s="67"/>
      <c r="J96" s="67"/>
      <c r="K96" s="67"/>
      <c r="L96" s="67"/>
      <c r="M96" s="67"/>
      <c r="N96" s="67"/>
      <c r="O96" s="67"/>
      <c r="P96" s="67"/>
      <c r="Q96" s="67"/>
      <c r="R96" s="67"/>
      <c r="S96" s="67"/>
      <c r="T96" s="67"/>
      <c r="U96" s="67"/>
      <c r="V96" s="67"/>
      <c r="W96" s="67"/>
      <c r="X96" s="67"/>
      <c r="Y96" s="67"/>
      <c r="Z96" s="67"/>
      <c r="AA96" s="56"/>
    </row>
    <row r="97" spans="1:27" x14ac:dyDescent="0.25">
      <c r="A97" s="67"/>
      <c r="B97" s="67"/>
      <c r="C97" s="67"/>
      <c r="D97" s="67"/>
      <c r="E97" s="67"/>
      <c r="F97" s="67"/>
      <c r="G97" s="68"/>
      <c r="H97" s="67"/>
      <c r="I97" s="67"/>
      <c r="J97" s="67"/>
      <c r="K97" s="67"/>
      <c r="L97" s="67"/>
      <c r="M97" s="67"/>
      <c r="N97" s="67"/>
      <c r="O97" s="67"/>
      <c r="P97" s="67"/>
      <c r="Q97" s="67"/>
      <c r="R97" s="67"/>
      <c r="S97" s="67"/>
      <c r="T97" s="67"/>
      <c r="U97" s="67"/>
      <c r="V97" s="67"/>
      <c r="W97" s="67"/>
      <c r="X97" s="67"/>
      <c r="Y97" s="67"/>
      <c r="Z97" s="67"/>
      <c r="AA97" s="56"/>
    </row>
    <row r="98" spans="1:27" x14ac:dyDescent="0.25">
      <c r="A98" s="67"/>
      <c r="B98" s="67"/>
      <c r="C98" s="67"/>
      <c r="D98" s="67"/>
      <c r="E98" s="67"/>
      <c r="F98" s="67"/>
      <c r="G98" s="68"/>
      <c r="H98" s="67"/>
      <c r="I98" s="67"/>
      <c r="J98" s="67"/>
      <c r="K98" s="67"/>
      <c r="L98" s="67"/>
      <c r="M98" s="67"/>
      <c r="N98" s="67"/>
      <c r="O98" s="67"/>
      <c r="P98" s="67"/>
      <c r="Q98" s="67"/>
      <c r="R98" s="67"/>
      <c r="S98" s="67"/>
      <c r="T98" s="67"/>
      <c r="U98" s="67"/>
      <c r="V98" s="67"/>
      <c r="W98" s="67"/>
      <c r="X98" s="67"/>
      <c r="Y98" s="67"/>
      <c r="Z98" s="67"/>
      <c r="AA98" s="56"/>
    </row>
    <row r="99" spans="1:27" x14ac:dyDescent="0.25">
      <c r="A99" s="67"/>
      <c r="B99" s="67"/>
      <c r="C99" s="67"/>
      <c r="D99" s="67"/>
      <c r="E99" s="67"/>
      <c r="F99" s="67"/>
      <c r="G99" s="68"/>
      <c r="H99" s="67"/>
      <c r="I99" s="67"/>
      <c r="J99" s="67"/>
      <c r="K99" s="67"/>
      <c r="L99" s="67"/>
      <c r="M99" s="67"/>
      <c r="N99" s="67"/>
      <c r="O99" s="67"/>
      <c r="P99" s="67"/>
      <c r="Q99" s="67"/>
      <c r="R99" s="67"/>
      <c r="S99" s="67"/>
      <c r="T99" s="67"/>
      <c r="U99" s="67"/>
      <c r="V99" s="67"/>
      <c r="W99" s="67"/>
      <c r="X99" s="67"/>
      <c r="Y99" s="67"/>
      <c r="Z99" s="67"/>
      <c r="AA99" s="56"/>
    </row>
    <row r="100" spans="1:27" x14ac:dyDescent="0.25">
      <c r="A100" s="58"/>
      <c r="B100" s="58"/>
      <c r="C100" s="58"/>
      <c r="D100" s="58"/>
      <c r="E100" s="58"/>
      <c r="F100" s="58"/>
      <c r="G100" s="59"/>
      <c r="H100" s="58"/>
      <c r="I100" s="58"/>
      <c r="J100" s="58"/>
      <c r="K100" s="58"/>
      <c r="L100" s="58"/>
      <c r="M100" s="58"/>
      <c r="N100" s="58"/>
      <c r="O100" s="58"/>
      <c r="P100" s="58"/>
      <c r="Q100" s="58"/>
      <c r="R100" s="58"/>
      <c r="S100" s="58"/>
      <c r="T100" s="58"/>
      <c r="U100" s="58"/>
      <c r="V100" s="58"/>
      <c r="W100" s="58"/>
      <c r="X100" s="58"/>
      <c r="Y100" s="58"/>
      <c r="Z100" s="58"/>
      <c r="AA100" s="56"/>
    </row>
  </sheetData>
  <sheetProtection algorithmName="SHA-512" hashValue="IUA5uLyW0mrRZkyPJKKIRFc3+5hN1b0hecgM8dzHCtjOUVEzhalBCWCXogf3HWMbmjeUOfL+5zp1szCxL2zuFA==" saltValue="VgYrN/Jn0z4UXKKRqvjtkQ==" spinCount="100000" sheet="1" objects="1" scenarios="1" selectLockedCells="1"/>
  <mergeCells count="1">
    <mergeCell ref="N3:O3"/>
  </mergeCells>
  <conditionalFormatting sqref="H7">
    <cfRule type="cellIs" dxfId="10" priority="2" operator="greaterThan">
      <formula>VIN_op_max_56</formula>
    </cfRule>
    <cfRule type="cellIs" dxfId="9" priority="17" operator="greaterThan">
      <formula>VIN_op_max</formula>
    </cfRule>
    <cfRule type="cellIs" dxfId="8" priority="18" operator="lessThan">
      <formula>VIN_op_min</formula>
    </cfRule>
  </conditionalFormatting>
  <conditionalFormatting sqref="H8">
    <cfRule type="cellIs" dxfId="7" priority="16" operator="notBetween">
      <formula>$H$7</formula>
      <formula>$H$9</formula>
    </cfRule>
  </conditionalFormatting>
  <conditionalFormatting sqref="H9">
    <cfRule type="cellIs" dxfId="6" priority="1" operator="greaterThan">
      <formula>VIN_op_max_56</formula>
    </cfRule>
    <cfRule type="cellIs" dxfId="5" priority="13" operator="greaterThan">
      <formula>VIN_op_max</formula>
    </cfRule>
    <cfRule type="cellIs" dxfId="4" priority="14" operator="lessThan">
      <formula>VIN_op_min</formula>
    </cfRule>
  </conditionalFormatting>
  <conditionalFormatting sqref="H17">
    <cfRule type="cellIs" dxfId="3" priority="6" operator="greaterThan">
      <formula>$H$16</formula>
    </cfRule>
  </conditionalFormatting>
  <conditionalFormatting sqref="H57">
    <cfRule type="expression" dxfId="1" priority="11">
      <formula>$H$8&gt;$H$9</formula>
    </cfRule>
    <cfRule type="expression" dxfId="0" priority="12">
      <formula>$H$8&lt;$H$7</formula>
    </cfRule>
  </conditionalFormatting>
  <dataValidations count="1">
    <dataValidation type="list" allowBlank="1" showInputMessage="1" showErrorMessage="1" sqref="H18" xr:uid="{B6CBC9E4-52B2-4FA8-BCFD-24B327448BB5}">
      <formula1>CondMode</formula1>
    </dataValidation>
  </dataValidations>
  <hyperlinks>
    <hyperlink ref="N3" location="About!A1" display="TERMS OF USE" xr:uid="{EE270A3B-8816-419E-84BC-D008FEAD0366}"/>
    <hyperlink ref="N3:O3" location="Licenses!A1" display="TERMS OF USE" xr:uid="{7B8CA94F-4734-4CAD-88EF-98DE4E41009B}"/>
  </hyperlinks>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0" r:id="rId4" name="Drop Down 146">
              <controlPr defaultSize="0" print="0" autoLine="0" autoPict="0" altText="This is just there to fix the excel issue with comments and linked pictures">
                <anchor moveWithCells="1">
                  <from>
                    <xdr:col>14</xdr:col>
                    <xdr:colOff>590550</xdr:colOff>
                    <xdr:row>30</xdr:row>
                    <xdr:rowOff>85725</xdr:rowOff>
                  </from>
                  <to>
                    <xdr:col>16</xdr:col>
                    <xdr:colOff>219075</xdr:colOff>
                    <xdr:row>31</xdr:row>
                    <xdr:rowOff>114300</xdr:rowOff>
                  </to>
                </anchor>
              </controlPr>
            </control>
          </mc:Choice>
        </mc:AlternateContent>
        <mc:AlternateContent xmlns:mc="http://schemas.openxmlformats.org/markup-compatibility/2006">
          <mc:Choice Requires="x14">
            <control shapeId="1060" r:id="rId5" name="Spinner 36">
              <controlPr defaultSize="0" autoPict="0">
                <anchor moveWithCells="1" sizeWithCells="1">
                  <from>
                    <xdr:col>7</xdr:col>
                    <xdr:colOff>504825</xdr:colOff>
                    <xdr:row>56</xdr:row>
                    <xdr:rowOff>0</xdr:rowOff>
                  </from>
                  <to>
                    <xdr:col>8</xdr:col>
                    <xdr:colOff>9525</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B53E77D-5294-4F50-832B-89A6F7F8A8A1}">
            <xm:f>NOT(Variable_Management!$K$30)</xm:f>
            <x14:dxf>
              <font>
                <color rgb="FFC00000"/>
              </font>
              <fill>
                <patternFill>
                  <bgColor theme="5" tint="0.59996337778862885"/>
                </patternFill>
              </fill>
            </x14:dxf>
          </x14:cfRule>
          <xm:sqref>H23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
  <sheetViews>
    <sheetView workbookViewId="0">
      <selection activeCell="C31" sqref="C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56"/>
  <sheetViews>
    <sheetView zoomScale="85" zoomScaleNormal="85" workbookViewId="0">
      <pane ySplit="5" topLeftCell="A48" activePane="bottomLeft" state="frozen"/>
      <selection activeCell="N8" sqref="N8"/>
      <selection pane="bottomLeft" activeCell="B89" sqref="B89"/>
    </sheetView>
  </sheetViews>
  <sheetFormatPr defaultRowHeight="15" x14ac:dyDescent="0.25"/>
  <cols>
    <col min="1" max="1" width="28.85546875" customWidth="1"/>
    <col min="2" max="2" width="19.5703125" customWidth="1"/>
    <col min="3" max="3" width="10.85546875" customWidth="1"/>
    <col min="4" max="4" width="10" bestFit="1" customWidth="1"/>
    <col min="5" max="5" width="18.7109375" customWidth="1"/>
    <col min="6" max="6" width="14.7109375" customWidth="1"/>
    <col min="7" max="7" width="15.140625" customWidth="1"/>
    <col min="8" max="9" width="12.5703125" customWidth="1"/>
    <col min="11" max="11" width="12.85546875" bestFit="1" customWidth="1"/>
    <col min="12" max="14" width="12.28515625" bestFit="1" customWidth="1"/>
  </cols>
  <sheetData>
    <row r="1" spans="1:17" ht="27.75" x14ac:dyDescent="0.4">
      <c r="A1" s="229" t="s">
        <v>15</v>
      </c>
      <c r="B1" s="229"/>
      <c r="C1" s="229"/>
      <c r="D1" s="229"/>
      <c r="E1" s="229"/>
      <c r="F1" s="229"/>
      <c r="G1" s="229"/>
      <c r="H1" s="229"/>
      <c r="I1" s="229"/>
      <c r="J1" s="229"/>
    </row>
    <row r="2" spans="1:17" x14ac:dyDescent="0.25">
      <c r="A2" s="5"/>
      <c r="B2" s="5" t="s">
        <v>16</v>
      </c>
      <c r="C2" s="6"/>
      <c r="D2" s="4"/>
      <c r="E2" s="5"/>
      <c r="F2" s="5"/>
      <c r="G2" s="5"/>
      <c r="H2" s="5"/>
      <c r="I2" s="5"/>
      <c r="J2" s="5"/>
    </row>
    <row r="3" spans="1:17" x14ac:dyDescent="0.25">
      <c r="A3" s="5"/>
      <c r="B3" s="5" t="s">
        <v>17</v>
      </c>
      <c r="C3" s="7"/>
      <c r="D3" s="4"/>
      <c r="E3" s="5"/>
      <c r="F3" s="14" t="s">
        <v>63</v>
      </c>
      <c r="G3" s="15" t="s">
        <v>64</v>
      </c>
      <c r="H3" s="26" t="s">
        <v>67</v>
      </c>
      <c r="I3" s="5"/>
      <c r="J3" s="5"/>
    </row>
    <row r="4" spans="1:17" x14ac:dyDescent="0.25">
      <c r="A4" s="5"/>
      <c r="B4" s="5" t="s">
        <v>18</v>
      </c>
      <c r="C4" s="8"/>
      <c r="D4" s="4"/>
      <c r="E4" s="5"/>
      <c r="F4" s="5"/>
      <c r="G4" s="5"/>
      <c r="H4" s="5"/>
      <c r="I4" s="5"/>
      <c r="J4" s="5"/>
    </row>
    <row r="5" spans="1:17" x14ac:dyDescent="0.25">
      <c r="A5" s="9" t="s">
        <v>19</v>
      </c>
      <c r="B5" s="9" t="s">
        <v>20</v>
      </c>
      <c r="C5" s="9" t="s">
        <v>21</v>
      </c>
      <c r="D5" s="4"/>
      <c r="E5" s="230" t="s">
        <v>22</v>
      </c>
      <c r="F5" s="230"/>
      <c r="G5" s="230"/>
      <c r="H5" s="230"/>
      <c r="I5" s="5"/>
      <c r="J5" s="9" t="s">
        <v>23</v>
      </c>
      <c r="K5" s="9" t="s">
        <v>71</v>
      </c>
      <c r="L5" s="4"/>
      <c r="M5" s="4"/>
      <c r="N5" s="4"/>
      <c r="O5" s="4"/>
      <c r="P5" s="4"/>
      <c r="Q5" s="4"/>
    </row>
    <row r="6" spans="1:17" ht="15.75" x14ac:dyDescent="0.25">
      <c r="A6" s="10" t="s">
        <v>24</v>
      </c>
      <c r="B6" s="9"/>
      <c r="C6" s="9"/>
      <c r="D6" s="9"/>
      <c r="E6" s="5"/>
      <c r="F6" s="5"/>
      <c r="G6" s="5"/>
      <c r="H6" s="5"/>
      <c r="I6" s="5"/>
      <c r="J6" s="9"/>
      <c r="K6" s="4"/>
      <c r="L6" s="4"/>
      <c r="M6" s="4"/>
      <c r="N6" s="4"/>
      <c r="O6" s="4"/>
      <c r="P6" s="4"/>
      <c r="Q6" s="4"/>
    </row>
    <row r="7" spans="1:17" x14ac:dyDescent="0.25">
      <c r="A7" t="s">
        <v>25</v>
      </c>
      <c r="B7" s="3">
        <f>'Design Converter'!H7</f>
        <v>21.6</v>
      </c>
      <c r="C7" t="s">
        <v>10</v>
      </c>
      <c r="E7" t="s">
        <v>28</v>
      </c>
    </row>
    <row r="8" spans="1:17" x14ac:dyDescent="0.25">
      <c r="A8" t="s">
        <v>26</v>
      </c>
      <c r="B8" s="3">
        <f>'Design Converter'!H8</f>
        <v>24</v>
      </c>
      <c r="C8" t="s">
        <v>10</v>
      </c>
      <c r="E8" t="s">
        <v>29</v>
      </c>
      <c r="K8">
        <f>IF(VIN_min&lt;VIN_min,1,IF(VIN_nom&gt;VIN_max,1,0))</f>
        <v>0</v>
      </c>
    </row>
    <row r="9" spans="1:17" x14ac:dyDescent="0.25">
      <c r="A9" t="s">
        <v>27</v>
      </c>
      <c r="B9" s="3">
        <f>'Design Converter'!H9</f>
        <v>26.4</v>
      </c>
      <c r="C9" t="s">
        <v>10</v>
      </c>
      <c r="E9" t="s">
        <v>30</v>
      </c>
    </row>
    <row r="10" spans="1:17" x14ac:dyDescent="0.25">
      <c r="A10" t="s">
        <v>68</v>
      </c>
      <c r="B10" s="3">
        <f>'Design Converter'!H12*1000</f>
        <v>440000</v>
      </c>
      <c r="C10" t="s">
        <v>69</v>
      </c>
      <c r="E10" t="s">
        <v>70</v>
      </c>
    </row>
    <row r="11" spans="1:17" x14ac:dyDescent="0.25">
      <c r="A11" t="s">
        <v>73</v>
      </c>
      <c r="B11" s="18">
        <f>((2.21*10^10)/Fsw)-955</f>
        <v>49272.272727272728</v>
      </c>
      <c r="C11" s="2" t="s">
        <v>36</v>
      </c>
      <c r="E11" t="s">
        <v>74</v>
      </c>
    </row>
    <row r="13" spans="1:17" x14ac:dyDescent="0.25">
      <c r="A13" t="s">
        <v>31</v>
      </c>
      <c r="B13" s="3">
        <f>'Design Converter'!H10</f>
        <v>135</v>
      </c>
      <c r="C13" t="s">
        <v>10</v>
      </c>
      <c r="E13" t="s">
        <v>32</v>
      </c>
    </row>
    <row r="14" spans="1:17" x14ac:dyDescent="0.25">
      <c r="A14" t="s">
        <v>33</v>
      </c>
      <c r="B14" s="3">
        <f>'Design Converter'!H11</f>
        <v>0.05</v>
      </c>
      <c r="C14" t="s">
        <v>11</v>
      </c>
      <c r="E14" t="s">
        <v>34</v>
      </c>
    </row>
    <row r="15" spans="1:17" x14ac:dyDescent="0.25">
      <c r="A15" t="s">
        <v>35</v>
      </c>
      <c r="B15" s="1">
        <f>VOUT/IOUT</f>
        <v>2700</v>
      </c>
      <c r="C15" s="2" t="s">
        <v>36</v>
      </c>
      <c r="E15" t="s">
        <v>42</v>
      </c>
    </row>
    <row r="16" spans="1:17" x14ac:dyDescent="0.25">
      <c r="A16" t="s">
        <v>37</v>
      </c>
      <c r="B16" s="1">
        <f>VOUT*IOUT</f>
        <v>6.75</v>
      </c>
      <c r="C16" s="2" t="s">
        <v>38</v>
      </c>
      <c r="E16" t="s">
        <v>41</v>
      </c>
    </row>
    <row r="17" spans="1:19" x14ac:dyDescent="0.25">
      <c r="A17" t="s">
        <v>39</v>
      </c>
      <c r="B17" s="11">
        <f>'Design Converter'!H14/100</f>
        <v>0.9</v>
      </c>
      <c r="E17" t="s">
        <v>40</v>
      </c>
    </row>
    <row r="19" spans="1:19" x14ac:dyDescent="0.25">
      <c r="A19" s="33" t="s">
        <v>519</v>
      </c>
    </row>
    <row r="20" spans="1:19" x14ac:dyDescent="0.25">
      <c r="A20" t="s">
        <v>43</v>
      </c>
      <c r="B20" s="1">
        <f>IF(B$36="DCM",B55,B39)</f>
        <v>0.84</v>
      </c>
      <c r="E20" t="s">
        <v>44</v>
      </c>
    </row>
    <row r="21" spans="1:19" x14ac:dyDescent="0.25">
      <c r="A21" t="s">
        <v>45</v>
      </c>
      <c r="B21" s="12">
        <f>Constants!B20</f>
        <v>0.93</v>
      </c>
      <c r="E21" t="s">
        <v>46</v>
      </c>
      <c r="K21">
        <f>IF(((1-D_limit_nom)/Constants!B12)&lt;Fsw,1,0)</f>
        <v>0</v>
      </c>
    </row>
    <row r="23" spans="1:19" x14ac:dyDescent="0.25">
      <c r="A23" t="s">
        <v>82</v>
      </c>
      <c r="B23" s="1">
        <f>IF(B$36="DCM",B58,B42)</f>
        <v>0.84</v>
      </c>
      <c r="E23" t="s">
        <v>506</v>
      </c>
    </row>
    <row r="24" spans="1:19" x14ac:dyDescent="0.25">
      <c r="B24" s="13">
        <f>IF(B$36="DCM",B59,B43)</f>
        <v>1.9090909090909091E-6</v>
      </c>
      <c r="C24" t="s">
        <v>54</v>
      </c>
      <c r="E24" t="s">
        <v>333</v>
      </c>
    </row>
    <row r="25" spans="1:19" x14ac:dyDescent="0.25">
      <c r="A25" t="s">
        <v>92</v>
      </c>
      <c r="B25" s="17">
        <f>IF(B$36="DCM",B60,B44)</f>
        <v>0.3125</v>
      </c>
      <c r="C25" t="s">
        <v>11</v>
      </c>
      <c r="E25" t="s">
        <v>95</v>
      </c>
      <c r="K25" t="s">
        <v>559</v>
      </c>
      <c r="L25" t="s">
        <v>560</v>
      </c>
      <c r="M25" t="s">
        <v>572</v>
      </c>
    </row>
    <row r="26" spans="1:19" x14ac:dyDescent="0.25">
      <c r="J26" t="s">
        <v>561</v>
      </c>
      <c r="K26" t="b">
        <f>Dc_CCM_VIN_min&lt;B58</f>
        <v>1</v>
      </c>
      <c r="L26" t="b">
        <f>Dc_CCM_VIN_nom&lt;Dc_DCM_VIN_nom</f>
        <v>1</v>
      </c>
      <c r="M26" t="b">
        <f>Dc_CCM_VIN_max&lt;B66</f>
        <v>1</v>
      </c>
    </row>
    <row r="27" spans="1:19" x14ac:dyDescent="0.25">
      <c r="A27" t="s">
        <v>83</v>
      </c>
      <c r="B27" s="1">
        <f>IF(B$36="DCM",B62,B46)</f>
        <v>0.82222222222222219</v>
      </c>
      <c r="E27" t="s">
        <v>507</v>
      </c>
      <c r="J27" t="s">
        <v>565</v>
      </c>
      <c r="K27" t="b">
        <f>AND(K26:M26)</f>
        <v>1</v>
      </c>
    </row>
    <row r="28" spans="1:19" x14ac:dyDescent="0.25">
      <c r="B28" s="13">
        <f>IF(B$36="DCM",B63,B47)</f>
        <v>1.8686868686868686E-6</v>
      </c>
      <c r="C28" t="s">
        <v>54</v>
      </c>
      <c r="E28" t="s">
        <v>333</v>
      </c>
      <c r="J28" t="s">
        <v>566</v>
      </c>
      <c r="K28" t="b">
        <f>NOT(OR(K26:M26))</f>
        <v>0</v>
      </c>
    </row>
    <row r="29" spans="1:19" x14ac:dyDescent="0.25">
      <c r="A29" t="s">
        <v>93</v>
      </c>
      <c r="B29" s="17">
        <f>IF(B$36="DCM",B64,B48)</f>
        <v>0.28125</v>
      </c>
      <c r="C29" t="s">
        <v>11</v>
      </c>
      <c r="E29" t="s">
        <v>96</v>
      </c>
      <c r="J29" t="s">
        <v>562</v>
      </c>
      <c r="K29" t="b">
        <f>NOT(OR(K27:K28))</f>
        <v>0</v>
      </c>
    </row>
    <row r="30" spans="1:19" x14ac:dyDescent="0.25">
      <c r="J30" t="s">
        <v>567</v>
      </c>
      <c r="K30" t="b">
        <f>IF(Dc_Mode="CCM",K27,IF(Dc_Mode="DCM",K28,K29))</f>
        <v>1</v>
      </c>
      <c r="P30" t="s">
        <v>557</v>
      </c>
      <c r="Q30" t="s">
        <v>555</v>
      </c>
      <c r="R30" t="s">
        <v>556</v>
      </c>
      <c r="S30" t="s">
        <v>558</v>
      </c>
    </row>
    <row r="31" spans="1:19" x14ac:dyDescent="0.25">
      <c r="A31" t="s">
        <v>84</v>
      </c>
      <c r="B31" s="1">
        <f>IF(B$36="DCM",B66,B50)</f>
        <v>0.80444444444444452</v>
      </c>
      <c r="E31" t="s">
        <v>508</v>
      </c>
      <c r="K31" t="s">
        <v>554</v>
      </c>
      <c r="L31" s="137">
        <f>VIN_min/(Fsw*2*IOUT)*Dc_VIN_min*(1-Dc_VIN_min)</f>
        <v>6.5978181818181832E-5</v>
      </c>
      <c r="M31" s="137">
        <f>VIN_nom/(Fsw*2*IOUT)*Dc_VIN_nom*(1-Dc_VIN_nom)</f>
        <v>7.9730639730639743E-5</v>
      </c>
      <c r="N31" s="137">
        <f>VIN_max/(Fsw*2*IOUT)*Dc_VIN_max*(1-Dc_VIN_max)</f>
        <v>9.4388148148148119E-5</v>
      </c>
      <c r="P31" s="137">
        <f>Q31*0.9</f>
        <v>5.9380363636363653E-5</v>
      </c>
      <c r="Q31" s="137">
        <f>MIN(L31:N31)</f>
        <v>6.5978181818181832E-5</v>
      </c>
      <c r="R31" s="137">
        <f>MAX(L31:N31)</f>
        <v>9.4388148148148119E-5</v>
      </c>
      <c r="S31" s="137">
        <f>R31*1.1</f>
        <v>1.0382696296296294E-4</v>
      </c>
    </row>
    <row r="32" spans="1:19" x14ac:dyDescent="0.25">
      <c r="B32" s="13">
        <f>IF(B$36="DCM",B67,B51)</f>
        <v>1.8282828282828284E-6</v>
      </c>
      <c r="C32" t="s">
        <v>54</v>
      </c>
      <c r="E32" t="s">
        <v>333</v>
      </c>
    </row>
    <row r="33" spans="1:14" x14ac:dyDescent="0.25">
      <c r="A33" t="s">
        <v>94</v>
      </c>
      <c r="B33" s="17">
        <f>IF(B$36="DCM",B68,B52)</f>
        <v>0.25568181818181818</v>
      </c>
      <c r="C33" t="s">
        <v>11</v>
      </c>
      <c r="E33" t="s">
        <v>97</v>
      </c>
    </row>
    <row r="34" spans="1:14" x14ac:dyDescent="0.25">
      <c r="N34" t="s">
        <v>553</v>
      </c>
    </row>
    <row r="35" spans="1:14" x14ac:dyDescent="0.25">
      <c r="A35" t="s">
        <v>534</v>
      </c>
      <c r="B35" s="140" t="str">
        <f>IF(AND(K35&lt;Lm,L35&lt;Lm,M35&lt;Lm),"CCM",IF(AND(K35&gt;Lm,L35&gt;Lm,M35&gt;Lm),"DCM","CCM/DCM"))</f>
        <v>CCM</v>
      </c>
      <c r="E35" t="s">
        <v>517</v>
      </c>
      <c r="K35" s="137">
        <f>VIN_min/(Fsw*2*IOUT)*Dc_CCM_VIN_min*(1-Dc_CCM_VIN_min)</f>
        <v>6.5978181818181832E-5</v>
      </c>
      <c r="L35" s="137">
        <f>IF(AND(B50&lt;0.5,B42&gt;0.5),VIN_min/(Fsw*2*IOUT)*0.5*(1-0.5),VIN_min/(Fsw*2*IOUT)*Dc_CCM_VIN_nom*(1-Dc_CCM_VIN_nom))</f>
        <v>7.1757575757575769E-5</v>
      </c>
      <c r="M35" s="137">
        <f>VIN_min/(Fsw*2*IOUT)*Dc_CCM_VIN_max*(1-Dc_VIN_max)</f>
        <v>7.722666666666665E-5</v>
      </c>
      <c r="N35" t="b">
        <f>IF(Dc_Mode="CCM",IF(Lm&lt;MAX(K35,L35,M35),TRUE,IF(Lm&gt;MIN(K35,L35,M35),TRUE,FALSE)))</f>
        <v>1</v>
      </c>
    </row>
    <row r="36" spans="1:14" x14ac:dyDescent="0.25">
      <c r="A36" t="s">
        <v>533</v>
      </c>
      <c r="B36" s="139" t="str">
        <f>'Design Converter'!H18</f>
        <v>CCM</v>
      </c>
      <c r="E36" t="s">
        <v>516</v>
      </c>
      <c r="K36" t="str">
        <f>IF(OR(B35="CCM",B35="CCM/DCM"),"CCM","DCM")</f>
        <v>CCM</v>
      </c>
      <c r="L36" t="str">
        <f>IF(B35="CCM/DCM","DCM","")</f>
        <v/>
      </c>
    </row>
    <row r="38" spans="1:14" x14ac:dyDescent="0.25">
      <c r="A38" s="33" t="s">
        <v>495</v>
      </c>
    </row>
    <row r="39" spans="1:14" x14ac:dyDescent="0.25">
      <c r="A39" t="s">
        <v>509</v>
      </c>
      <c r="B39" s="1">
        <f>1-VIN_min/VOUT</f>
        <v>0.84</v>
      </c>
      <c r="E39" t="s">
        <v>44</v>
      </c>
    </row>
    <row r="42" spans="1:14" x14ac:dyDescent="0.25">
      <c r="A42" t="s">
        <v>510</v>
      </c>
      <c r="B42" s="1">
        <f>1-VIN_min/VOUT</f>
        <v>0.84</v>
      </c>
      <c r="E42" t="s">
        <v>85</v>
      </c>
    </row>
    <row r="43" spans="1:14" x14ac:dyDescent="0.25">
      <c r="B43" s="13">
        <f>B42/Fsw</f>
        <v>1.9090909090909091E-6</v>
      </c>
      <c r="C43" t="s">
        <v>54</v>
      </c>
      <c r="E43" t="s">
        <v>333</v>
      </c>
    </row>
    <row r="44" spans="1:14" x14ac:dyDescent="0.25">
      <c r="A44" t="s">
        <v>511</v>
      </c>
      <c r="B44" s="17">
        <f>(VOUT*IOUT)/(VIN_min)</f>
        <v>0.3125</v>
      </c>
      <c r="C44" t="s">
        <v>11</v>
      </c>
      <c r="E44" t="s">
        <v>95</v>
      </c>
    </row>
    <row r="46" spans="1:14" x14ac:dyDescent="0.25">
      <c r="A46" t="s">
        <v>512</v>
      </c>
      <c r="B46" s="1">
        <f>1-VIN_nom/VOUT</f>
        <v>0.82222222222222219</v>
      </c>
      <c r="E46" t="s">
        <v>86</v>
      </c>
    </row>
    <row r="47" spans="1:14" x14ac:dyDescent="0.25">
      <c r="B47" s="13">
        <f>B46/Fsw</f>
        <v>1.8686868686868686E-6</v>
      </c>
      <c r="C47" t="s">
        <v>54</v>
      </c>
      <c r="E47" t="s">
        <v>333</v>
      </c>
    </row>
    <row r="48" spans="1:14" x14ac:dyDescent="0.25">
      <c r="A48" t="s">
        <v>513</v>
      </c>
      <c r="B48" s="17">
        <f>(VOUT*IOUT)/(VIN_nom)</f>
        <v>0.28125</v>
      </c>
      <c r="C48" t="s">
        <v>11</v>
      </c>
      <c r="E48" t="s">
        <v>96</v>
      </c>
    </row>
    <row r="50" spans="1:5" x14ac:dyDescent="0.25">
      <c r="A50" t="s">
        <v>514</v>
      </c>
      <c r="B50" s="1">
        <f>1-VIN_max/VOUT</f>
        <v>0.80444444444444452</v>
      </c>
      <c r="E50" t="s">
        <v>87</v>
      </c>
    </row>
    <row r="51" spans="1:5" x14ac:dyDescent="0.25">
      <c r="B51" s="13">
        <f>B50/Fsw</f>
        <v>1.8282828282828284E-6</v>
      </c>
      <c r="C51" t="s">
        <v>54</v>
      </c>
      <c r="E51" t="s">
        <v>333</v>
      </c>
    </row>
    <row r="52" spans="1:5" x14ac:dyDescent="0.25">
      <c r="A52" t="s">
        <v>515</v>
      </c>
      <c r="B52" s="17">
        <f>(VOUT*IOUT)/(VIN_max)</f>
        <v>0.25568181818181818</v>
      </c>
      <c r="C52" t="s">
        <v>11</v>
      </c>
      <c r="E52" t="s">
        <v>97</v>
      </c>
    </row>
    <row r="54" spans="1:5" x14ac:dyDescent="0.25">
      <c r="A54" s="33" t="s">
        <v>496</v>
      </c>
    </row>
    <row r="55" spans="1:5" x14ac:dyDescent="0.25">
      <c r="A55" t="s">
        <v>497</v>
      </c>
      <c r="B55" s="1">
        <f>1/VIN_min*SQRT(2*Lm*(VOUT-VIN_min)*Fsw*IOUT)</f>
        <v>2.6967058093574501</v>
      </c>
      <c r="E55" t="s">
        <v>44</v>
      </c>
    </row>
    <row r="58" spans="1:5" x14ac:dyDescent="0.25">
      <c r="A58" t="s">
        <v>501</v>
      </c>
      <c r="B58" s="1">
        <f>1/VIN_min*SQRT(2*Lm*(VOUT-VIN_min)*Fsw*IOUT)</f>
        <v>2.6967058093574501</v>
      </c>
      <c r="E58" t="s">
        <v>498</v>
      </c>
    </row>
    <row r="59" spans="1:5" x14ac:dyDescent="0.25">
      <c r="B59" s="13">
        <f>B58/Fsw</f>
        <v>6.1288768394487498E-6</v>
      </c>
      <c r="C59" t="s">
        <v>54</v>
      </c>
      <c r="E59" t="s">
        <v>333</v>
      </c>
    </row>
    <row r="60" spans="1:5" x14ac:dyDescent="0.25">
      <c r="A60" t="s">
        <v>502</v>
      </c>
      <c r="B60" s="17">
        <f>(VOUT*IOUT)/(VIN_min)</f>
        <v>0.3125</v>
      </c>
      <c r="C60" t="s">
        <v>11</v>
      </c>
      <c r="E60" t="s">
        <v>95</v>
      </c>
    </row>
    <row r="62" spans="1:5" x14ac:dyDescent="0.25">
      <c r="A62" t="s">
        <v>503</v>
      </c>
      <c r="B62" s="1">
        <f>1/VIN_nom*SQRT(2*Lm*(VOUT-VIN_nom)*Fsw*IOUT)</f>
        <v>2.4012149702459653</v>
      </c>
      <c r="E62" t="s">
        <v>499</v>
      </c>
    </row>
    <row r="63" spans="1:5" x14ac:dyDescent="0.25">
      <c r="B63" s="13">
        <f>B62/Fsw</f>
        <v>5.4573067505590125E-6</v>
      </c>
      <c r="C63" t="s">
        <v>54</v>
      </c>
      <c r="E63" t="s">
        <v>333</v>
      </c>
    </row>
    <row r="64" spans="1:5" x14ac:dyDescent="0.25">
      <c r="A64" t="s">
        <v>504</v>
      </c>
      <c r="B64" s="17">
        <f>(VOUT*IOUT)/(VIN_nom)</f>
        <v>0.28125</v>
      </c>
      <c r="C64" t="s">
        <v>11</v>
      </c>
      <c r="E64" t="s">
        <v>96</v>
      </c>
    </row>
    <row r="66" spans="1:5" x14ac:dyDescent="0.25">
      <c r="A66" t="s">
        <v>505</v>
      </c>
      <c r="B66" s="1">
        <f>1/VIN_max*SQRT(2*Lm*(VOUT-VIN_max)*Fsw*IOUT)</f>
        <v>2.1591945748637875</v>
      </c>
      <c r="E66" t="s">
        <v>500</v>
      </c>
    </row>
    <row r="67" spans="1:5" x14ac:dyDescent="0.25">
      <c r="B67" s="13">
        <f>B66/Fsw</f>
        <v>4.9072603974176989E-6</v>
      </c>
      <c r="C67" t="s">
        <v>54</v>
      </c>
      <c r="E67" t="s">
        <v>333</v>
      </c>
    </row>
    <row r="68" spans="1:5" x14ac:dyDescent="0.25">
      <c r="A68" t="s">
        <v>94</v>
      </c>
      <c r="B68" s="17">
        <f>(VOUT*IOUT)/(VIN_max)</f>
        <v>0.25568181818181818</v>
      </c>
      <c r="C68" t="s">
        <v>11</v>
      </c>
      <c r="E68" t="s">
        <v>97</v>
      </c>
    </row>
    <row r="70" spans="1:5" x14ac:dyDescent="0.25">
      <c r="A70" s="19" t="s">
        <v>77</v>
      </c>
    </row>
    <row r="71" spans="1:5" x14ac:dyDescent="0.25">
      <c r="A71" t="s">
        <v>99</v>
      </c>
      <c r="B71" s="3">
        <f>'Design Converter'!H21/100</f>
        <v>0.6</v>
      </c>
      <c r="E71" t="s">
        <v>122</v>
      </c>
    </row>
    <row r="72" spans="1:5" x14ac:dyDescent="0.25">
      <c r="A72" s="22" t="s">
        <v>107</v>
      </c>
    </row>
    <row r="73" spans="1:5" x14ac:dyDescent="0.25">
      <c r="A73" t="s">
        <v>90</v>
      </c>
      <c r="B73" s="25">
        <f>(VIN_min*Dc_VIN_min)/(IL_avg_VIN_min*ILrip*Fsw)</f>
        <v>2.1992727272727276E-4</v>
      </c>
      <c r="C73" t="s">
        <v>98</v>
      </c>
      <c r="E73" t="s">
        <v>91</v>
      </c>
    </row>
    <row r="74" spans="1:5" x14ac:dyDescent="0.25">
      <c r="A74" t="s">
        <v>569</v>
      </c>
      <c r="B74" s="25">
        <f>(VIN_nom*Dc_VIN_nom)/(IL_avg_VIN_nom*ILrip*Fsw)</f>
        <v>2.6576879910213249E-4</v>
      </c>
      <c r="C74" t="s">
        <v>98</v>
      </c>
      <c r="E74" t="s">
        <v>570</v>
      </c>
    </row>
    <row r="75" spans="1:5" x14ac:dyDescent="0.25">
      <c r="A75" t="s">
        <v>568</v>
      </c>
      <c r="B75" s="25">
        <f>(VIN_max*Dc_VIN_max)/(IL_avg_VIN_max*ILrip*Fsw)</f>
        <v>3.1462716049382721E-4</v>
      </c>
      <c r="C75" t="s">
        <v>98</v>
      </c>
      <c r="E75" t="s">
        <v>571</v>
      </c>
    </row>
    <row r="76" spans="1:5" x14ac:dyDescent="0.25">
      <c r="A76" t="s">
        <v>100</v>
      </c>
      <c r="B76" s="25">
        <f>AVERAGE(B73:B75)</f>
        <v>2.667744107744108E-4</v>
      </c>
      <c r="C76" t="s">
        <v>98</v>
      </c>
      <c r="E76" t="s">
        <v>101</v>
      </c>
    </row>
    <row r="78" spans="1:5" x14ac:dyDescent="0.25">
      <c r="A78" s="22" t="s">
        <v>108</v>
      </c>
    </row>
    <row r="79" spans="1:5" x14ac:dyDescent="0.25">
      <c r="A79" t="s">
        <v>133</v>
      </c>
      <c r="B79" s="12">
        <v>0.33</v>
      </c>
      <c r="C79" t="s">
        <v>13</v>
      </c>
      <c r="E79" t="s">
        <v>132</v>
      </c>
    </row>
    <row r="80" spans="1:5" x14ac:dyDescent="0.25">
      <c r="A80" t="s">
        <v>109</v>
      </c>
      <c r="B80" s="1">
        <f>IF(Dc_VIN_max&lt;Dc_rip_max,VOUT*(1-Dc_rip_max),VOUT*(1-Dc_VIN_max))</f>
        <v>26.399999999999991</v>
      </c>
      <c r="C80" t="s">
        <v>10</v>
      </c>
      <c r="E80" t="s">
        <v>136</v>
      </c>
    </row>
    <row r="81" spans="1:5" x14ac:dyDescent="0.25">
      <c r="A81" t="s">
        <v>110</v>
      </c>
      <c r="B81" s="16">
        <f>(VOUT*IOUT)/(VIN_33)</f>
        <v>0.25568181818181829</v>
      </c>
      <c r="C81" t="s">
        <v>11</v>
      </c>
      <c r="E81" t="s">
        <v>135</v>
      </c>
    </row>
    <row r="82" spans="1:5" x14ac:dyDescent="0.25">
      <c r="A82" t="s">
        <v>111</v>
      </c>
      <c r="B82" s="25">
        <f>(VIN_33*0.33)/(IIN_33*ILrip*Fsw)</f>
        <v>1.2906666666666659E-4</v>
      </c>
      <c r="C82" t="s">
        <v>98</v>
      </c>
      <c r="E82" t="s">
        <v>134</v>
      </c>
    </row>
    <row r="84" spans="1:5" x14ac:dyDescent="0.25">
      <c r="A84" t="s">
        <v>102</v>
      </c>
      <c r="B84" s="21">
        <f>'Design Converter'!H23*10^-6</f>
        <v>6.7999999999999994E-4</v>
      </c>
      <c r="C84" t="s">
        <v>98</v>
      </c>
      <c r="E84" t="s">
        <v>103</v>
      </c>
    </row>
    <row r="85" spans="1:5" x14ac:dyDescent="0.25">
      <c r="A85" t="s">
        <v>104</v>
      </c>
      <c r="B85" s="3">
        <f>'Design Converter'!H24*10^-3</f>
        <v>1.1000000000000001</v>
      </c>
      <c r="C85" s="2" t="s">
        <v>36</v>
      </c>
      <c r="E85" t="s">
        <v>137</v>
      </c>
    </row>
    <row r="86" spans="1:5" x14ac:dyDescent="0.25">
      <c r="A86" t="s">
        <v>138</v>
      </c>
      <c r="B86" s="12">
        <v>0.2</v>
      </c>
      <c r="C86" s="2"/>
      <c r="E86" t="s">
        <v>139</v>
      </c>
    </row>
    <row r="88" spans="1:5" x14ac:dyDescent="0.25">
      <c r="A88" s="22" t="s">
        <v>573</v>
      </c>
      <c r="C88" s="2"/>
    </row>
    <row r="89" spans="1:5" x14ac:dyDescent="0.25">
      <c r="A89" t="s">
        <v>574</v>
      </c>
      <c r="B89" s="227">
        <f>VIN_min/(2*Fsw*IOUT)*(1-VIN_min/VOUT)*(1-(1-VIN_min/VOUT))</f>
        <v>6.5978181818181832E-5</v>
      </c>
      <c r="C89" s="2"/>
    </row>
    <row r="90" spans="1:5" x14ac:dyDescent="0.25">
      <c r="C90" s="2"/>
    </row>
    <row r="91" spans="1:5" x14ac:dyDescent="0.25">
      <c r="A91" s="22" t="s">
        <v>495</v>
      </c>
      <c r="C91" s="2"/>
    </row>
    <row r="92" spans="1:5" x14ac:dyDescent="0.25">
      <c r="A92" t="s">
        <v>115</v>
      </c>
      <c r="B92" s="16">
        <f>(VIN_min*Dc_VIN_min)/(Lm*Fsw)</f>
        <v>6.0641711229946535E-2</v>
      </c>
      <c r="C92" t="s">
        <v>11</v>
      </c>
      <c r="E92" t="s">
        <v>116</v>
      </c>
    </row>
    <row r="93" spans="1:5" x14ac:dyDescent="0.25">
      <c r="A93" t="s">
        <v>113</v>
      </c>
      <c r="B93" s="16">
        <f>(IL_avg_VIN_min/EFF_est)+(ILrip_VINmin/2)</f>
        <v>0.37754307783719548</v>
      </c>
      <c r="C93" t="s">
        <v>11</v>
      </c>
      <c r="E93" t="s">
        <v>114</v>
      </c>
    </row>
    <row r="95" spans="1:5" x14ac:dyDescent="0.25">
      <c r="A95" t="s">
        <v>117</v>
      </c>
      <c r="B95" s="16">
        <f>(VIN_nom*Dc_VIN_nom)/(Lm*Fsw)</f>
        <v>6.5953654188948316E-2</v>
      </c>
      <c r="C95" t="s">
        <v>11</v>
      </c>
      <c r="E95" t="s">
        <v>123</v>
      </c>
    </row>
    <row r="96" spans="1:5" x14ac:dyDescent="0.25">
      <c r="A96" t="s">
        <v>118</v>
      </c>
      <c r="B96" s="16">
        <f>(IL_avg_VIN_nom/EFF_est)+(ILrip_VINnom/2)</f>
        <v>0.34547682709447414</v>
      </c>
      <c r="C96" t="s">
        <v>11</v>
      </c>
      <c r="E96" t="s">
        <v>124</v>
      </c>
    </row>
    <row r="98" spans="1:5" x14ac:dyDescent="0.25">
      <c r="A98" t="s">
        <v>119</v>
      </c>
      <c r="B98" s="16">
        <f>(VIN_max*Dc_VIN_max)/(Lm*Fsw)</f>
        <v>7.0980392156862762E-2</v>
      </c>
      <c r="C98" t="s">
        <v>11</v>
      </c>
      <c r="E98" t="s">
        <v>125</v>
      </c>
    </row>
    <row r="99" spans="1:5" x14ac:dyDescent="0.25">
      <c r="A99" t="s">
        <v>120</v>
      </c>
      <c r="B99" s="16">
        <f>(IL_avg_VIN_max/EFF_est)+(ILrip_VINmax/2)</f>
        <v>0.31958110516934046</v>
      </c>
      <c r="C99" t="s">
        <v>11</v>
      </c>
      <c r="E99" t="s">
        <v>126</v>
      </c>
    </row>
    <row r="100" spans="1:5" x14ac:dyDescent="0.25">
      <c r="C100" s="2"/>
    </row>
    <row r="101" spans="1:5" x14ac:dyDescent="0.25">
      <c r="A101" s="22" t="s">
        <v>496</v>
      </c>
      <c r="C101" s="2"/>
    </row>
    <row r="102" spans="1:5" x14ac:dyDescent="0.25">
      <c r="A102" t="s">
        <v>115</v>
      </c>
      <c r="B102" s="16">
        <f>(VIN_min*Dc_VIN_min)/(Lm*Fsw)</f>
        <v>6.0641711229946535E-2</v>
      </c>
      <c r="C102" t="s">
        <v>11</v>
      </c>
      <c r="E102" t="s">
        <v>116</v>
      </c>
    </row>
    <row r="103" spans="1:5" x14ac:dyDescent="0.25">
      <c r="A103" t="s">
        <v>113</v>
      </c>
      <c r="B103" s="16">
        <f>B102</f>
        <v>6.0641711229946535E-2</v>
      </c>
      <c r="C103" t="s">
        <v>11</v>
      </c>
      <c r="E103" t="s">
        <v>114</v>
      </c>
    </row>
    <row r="105" spans="1:5" x14ac:dyDescent="0.25">
      <c r="A105" t="s">
        <v>117</v>
      </c>
      <c r="B105" s="16">
        <f>(VIN_nom*Dc_VIN_nom)/(Lm*Fsw)</f>
        <v>6.5953654188948316E-2</v>
      </c>
      <c r="C105" t="s">
        <v>11</v>
      </c>
      <c r="E105" t="s">
        <v>123</v>
      </c>
    </row>
    <row r="106" spans="1:5" x14ac:dyDescent="0.25">
      <c r="A106" t="s">
        <v>118</v>
      </c>
      <c r="B106" s="16">
        <f>B105</f>
        <v>6.5953654188948316E-2</v>
      </c>
      <c r="C106" t="s">
        <v>11</v>
      </c>
      <c r="E106" t="s">
        <v>124</v>
      </c>
    </row>
    <row r="108" spans="1:5" x14ac:dyDescent="0.25">
      <c r="A108" t="s">
        <v>119</v>
      </c>
      <c r="B108" s="16">
        <f>(VIN_max*Dc_VIN_max)/(Lm*Fsw)</f>
        <v>7.0980392156862762E-2</v>
      </c>
      <c r="C108" t="s">
        <v>11</v>
      </c>
      <c r="E108" t="s">
        <v>125</v>
      </c>
    </row>
    <row r="109" spans="1:5" x14ac:dyDescent="0.25">
      <c r="A109" t="s">
        <v>120</v>
      </c>
      <c r="B109" s="16">
        <f>B108</f>
        <v>7.0980392156862762E-2</v>
      </c>
      <c r="C109" t="s">
        <v>11</v>
      </c>
      <c r="E109" t="s">
        <v>126</v>
      </c>
    </row>
    <row r="110" spans="1:5" x14ac:dyDescent="0.25">
      <c r="C110" s="2"/>
    </row>
    <row r="111" spans="1:5" x14ac:dyDescent="0.25">
      <c r="A111" s="22" t="s">
        <v>324</v>
      </c>
      <c r="B111" t="s">
        <v>112</v>
      </c>
    </row>
    <row r="112" spans="1:5" x14ac:dyDescent="0.25">
      <c r="A112" t="s">
        <v>115</v>
      </c>
      <c r="B112" s="16">
        <f>IF(B$36="CCM",B92,B102)</f>
        <v>6.0641711229946535E-2</v>
      </c>
      <c r="C112" t="s">
        <v>11</v>
      </c>
      <c r="E112" t="s">
        <v>116</v>
      </c>
    </row>
    <row r="113" spans="1:13" x14ac:dyDescent="0.25">
      <c r="A113" t="s">
        <v>113</v>
      </c>
      <c r="B113" s="16">
        <f>IF(B$36="CCM",B93,B103)</f>
        <v>0.37754307783719548</v>
      </c>
      <c r="C113" t="s">
        <v>11</v>
      </c>
      <c r="E113" t="s">
        <v>114</v>
      </c>
    </row>
    <row r="115" spans="1:13" x14ac:dyDescent="0.25">
      <c r="A115" t="s">
        <v>117</v>
      </c>
      <c r="B115" s="16">
        <f>IF(B$36="CCM",B95,B105)</f>
        <v>6.5953654188948316E-2</v>
      </c>
      <c r="C115" t="s">
        <v>11</v>
      </c>
      <c r="E115" t="s">
        <v>123</v>
      </c>
    </row>
    <row r="116" spans="1:13" x14ac:dyDescent="0.25">
      <c r="A116" t="s">
        <v>118</v>
      </c>
      <c r="B116" s="16">
        <f>IF(B$36="CCM",B96,B106)</f>
        <v>0.34547682709447414</v>
      </c>
      <c r="C116" t="s">
        <v>11</v>
      </c>
      <c r="E116" t="s">
        <v>124</v>
      </c>
    </row>
    <row r="118" spans="1:13" x14ac:dyDescent="0.25">
      <c r="A118" t="s">
        <v>119</v>
      </c>
      <c r="B118" s="16">
        <f>IF(B$36="CCM",B98,B108)</f>
        <v>7.0980392156862762E-2</v>
      </c>
      <c r="C118" t="s">
        <v>11</v>
      </c>
      <c r="E118" t="s">
        <v>125</v>
      </c>
    </row>
    <row r="119" spans="1:13" x14ac:dyDescent="0.25">
      <c r="A119" t="s">
        <v>120</v>
      </c>
      <c r="B119" s="16">
        <f>IF(B$36="CCM",B99,B109)</f>
        <v>0.31958110516934046</v>
      </c>
      <c r="C119" t="s">
        <v>11</v>
      </c>
      <c r="E119" t="s">
        <v>126</v>
      </c>
    </row>
    <row r="121" spans="1:13" x14ac:dyDescent="0.25">
      <c r="A121" s="19" t="s">
        <v>121</v>
      </c>
    </row>
    <row r="122" spans="1:13" x14ac:dyDescent="0.25">
      <c r="A122" t="s">
        <v>128</v>
      </c>
      <c r="B122" s="3">
        <f>'Design Converter'!H28/100</f>
        <v>0.3</v>
      </c>
      <c r="E122" t="s">
        <v>129</v>
      </c>
    </row>
    <row r="123" spans="1:13" x14ac:dyDescent="0.25">
      <c r="A123" t="s">
        <v>130</v>
      </c>
      <c r="B123" s="17">
        <f>(1+Ipk_margin)*ILp_VINmin</f>
        <v>0.49080600118835416</v>
      </c>
      <c r="C123" t="s">
        <v>11</v>
      </c>
      <c r="E123" t="s">
        <v>131</v>
      </c>
    </row>
    <row r="124" spans="1:13" x14ac:dyDescent="0.25">
      <c r="B124" s="17"/>
    </row>
    <row r="125" spans="1:13" x14ac:dyDescent="0.25">
      <c r="A125" t="s">
        <v>142</v>
      </c>
      <c r="B125" s="12">
        <v>0.6</v>
      </c>
      <c r="E125" t="s">
        <v>143</v>
      </c>
      <c r="J125">
        <f>Fsw*Isl*Rsl_int*Lm</f>
        <v>11.965007999999997</v>
      </c>
    </row>
    <row r="126" spans="1:13" x14ac:dyDescent="0.25">
      <c r="J126">
        <f>Isl</f>
        <v>2.9999999999999997E-5</v>
      </c>
      <c r="K126">
        <f>Fsw</f>
        <v>440000</v>
      </c>
      <c r="L126">
        <f>Lm</f>
        <v>6.7999999999999994E-4</v>
      </c>
      <c r="M126">
        <f>Rsl_int</f>
        <v>1333</v>
      </c>
    </row>
    <row r="127" spans="1:13" x14ac:dyDescent="0.25">
      <c r="A127" t="s">
        <v>140</v>
      </c>
      <c r="B127" s="25">
        <f>(1/B125)*((Fsw*Isl*Rsl_int*Lm)/(VOUT-VIN_min))</f>
        <v>0.17585255731922395</v>
      </c>
      <c r="C127" s="2" t="s">
        <v>36</v>
      </c>
      <c r="E127" t="s">
        <v>141</v>
      </c>
    </row>
    <row r="128" spans="1:13" x14ac:dyDescent="0.25">
      <c r="A128" t="s">
        <v>148</v>
      </c>
      <c r="B128" s="25">
        <f>Vcl/Ipk_selected</f>
        <v>0.20374648997338463</v>
      </c>
      <c r="C128" s="2" t="s">
        <v>36</v>
      </c>
      <c r="E128" t="s">
        <v>149</v>
      </c>
    </row>
    <row r="130" spans="1:11" x14ac:dyDescent="0.25">
      <c r="A130" t="s">
        <v>155</v>
      </c>
      <c r="B130" s="12">
        <v>0.83299999999999996</v>
      </c>
      <c r="E130" t="s">
        <v>156</v>
      </c>
    </row>
    <row r="131" spans="1:11" x14ac:dyDescent="0.25">
      <c r="A131" t="s">
        <v>154</v>
      </c>
      <c r="B131" s="24">
        <f>(Lm*Fsw*(Vcl+(Dc_VIN_min*Isl*Rsl_int)))/((Dc_VIN_min*Kslope*VOUT)-(Dc_VIN_min*Kslope*VIN_min)+(Ipk_selected*Lm*Fsw))</f>
        <v>0.17670674416111484</v>
      </c>
      <c r="C131" s="2" t="s">
        <v>36</v>
      </c>
      <c r="E131" t="s">
        <v>165</v>
      </c>
    </row>
    <row r="132" spans="1:11" x14ac:dyDescent="0.25">
      <c r="A132" t="s">
        <v>157</v>
      </c>
      <c r="B132" s="16">
        <f>(Vcl-(Ipk_selected*Rcs_w_sl))/(Isl*Dc_VIN_min)</f>
        <v>526.63767917736823</v>
      </c>
      <c r="C132" s="2" t="s">
        <v>36</v>
      </c>
      <c r="E132" t="s">
        <v>164</v>
      </c>
    </row>
    <row r="134" spans="1:11" x14ac:dyDescent="0.25">
      <c r="A134" t="s">
        <v>152</v>
      </c>
      <c r="B134" s="1">
        <f>IF(AND(Rcs_wo_sl&gt;Rcs_max,OR(B36="CCM",B36="CCM/DCM")),1,0)</f>
        <v>1</v>
      </c>
      <c r="E134" t="s">
        <v>153</v>
      </c>
    </row>
    <row r="135" spans="1:11" x14ac:dyDescent="0.25">
      <c r="A135" t="s">
        <v>158</v>
      </c>
      <c r="B135" s="27">
        <f>IF(B134=0,Rcs_wo_sl,Rcs_w_sl)</f>
        <v>0.17670674416111484</v>
      </c>
      <c r="C135" s="2" t="s">
        <v>36</v>
      </c>
      <c r="E135" t="s">
        <v>162</v>
      </c>
    </row>
    <row r="136" spans="1:11" x14ac:dyDescent="0.25">
      <c r="A136" t="s">
        <v>159</v>
      </c>
      <c r="B136" s="1">
        <f>IF(K136&gt;Rsl_max,Rsl_max,K136)</f>
        <v>526.63767917736823</v>
      </c>
      <c r="C136" s="2" t="s">
        <v>36</v>
      </c>
      <c r="E136" t="s">
        <v>163</v>
      </c>
      <c r="K136">
        <f>IF(B134=0,0,B132)</f>
        <v>526.63767917736823</v>
      </c>
    </row>
    <row r="138" spans="1:11" x14ac:dyDescent="0.25">
      <c r="A138" t="s">
        <v>160</v>
      </c>
      <c r="B138" s="28">
        <f>'Design Converter'!H32/1000</f>
        <v>0.12</v>
      </c>
      <c r="C138" s="2" t="s">
        <v>36</v>
      </c>
      <c r="E138" t="s">
        <v>167</v>
      </c>
    </row>
    <row r="139" spans="1:11" x14ac:dyDescent="0.25">
      <c r="A139" t="s">
        <v>161</v>
      </c>
      <c r="B139" s="3">
        <f>'Design Converter'!H33</f>
        <v>0</v>
      </c>
      <c r="C139" s="2" t="s">
        <v>36</v>
      </c>
      <c r="E139" t="s">
        <v>168</v>
      </c>
    </row>
    <row r="141" spans="1:11" x14ac:dyDescent="0.25">
      <c r="A141" t="s">
        <v>172</v>
      </c>
      <c r="B141" s="1">
        <f>(Isl*(Rsl_int+R_sl)*Fsw)/(((VOUT-VIN_min)/Lm)*R_cs)</f>
        <v>0.87926278659611989</v>
      </c>
      <c r="C141" t="s">
        <v>180</v>
      </c>
      <c r="E141" t="s">
        <v>170</v>
      </c>
      <c r="K141">
        <f>IF(B141&lt;0.5,1,0)</f>
        <v>0</v>
      </c>
    </row>
    <row r="142" spans="1:11" x14ac:dyDescent="0.25">
      <c r="A142" t="s">
        <v>174</v>
      </c>
      <c r="B142" s="17">
        <f>(Vcl-(Isl*R_sl*Dc_VIN_min))/R_cs</f>
        <v>0.83333333333333337</v>
      </c>
      <c r="C142" t="s">
        <v>11</v>
      </c>
      <c r="E142" t="s">
        <v>176</v>
      </c>
      <c r="K142">
        <f>IF(IL_pk&lt;Ipk_selected,1,0)</f>
        <v>0</v>
      </c>
    </row>
    <row r="143" spans="1:11" x14ac:dyDescent="0.25">
      <c r="A143" t="s">
        <v>175</v>
      </c>
      <c r="B143" s="17">
        <f>(Vcl-(Isl*R_sl*Dc_VIN_max))/R_cs</f>
        <v>0.83333333333333337</v>
      </c>
      <c r="C143" t="s">
        <v>11</v>
      </c>
      <c r="E143" t="s">
        <v>177</v>
      </c>
    </row>
    <row r="144" spans="1:11" x14ac:dyDescent="0.25">
      <c r="A144" t="s">
        <v>178</v>
      </c>
      <c r="B144" s="1">
        <f>0.15</f>
        <v>0.15</v>
      </c>
      <c r="E144" t="s">
        <v>179</v>
      </c>
    </row>
    <row r="145" spans="1:5" x14ac:dyDescent="0.25">
      <c r="A145" t="s">
        <v>181</v>
      </c>
      <c r="B145" s="16">
        <f>(1+B144)*B143</f>
        <v>0.95833333333333326</v>
      </c>
      <c r="C145" t="s">
        <v>11</v>
      </c>
      <c r="E145" t="s">
        <v>182</v>
      </c>
    </row>
    <row r="147" spans="1:5" x14ac:dyDescent="0.25">
      <c r="A147" s="22" t="s">
        <v>183</v>
      </c>
    </row>
    <row r="148" spans="1:5" x14ac:dyDescent="0.25">
      <c r="A148" t="s">
        <v>184</v>
      </c>
    </row>
    <row r="150" spans="1:5" x14ac:dyDescent="0.25">
      <c r="A150" s="30" t="s">
        <v>185</v>
      </c>
    </row>
    <row r="152" spans="1:5" x14ac:dyDescent="0.25">
      <c r="A152" t="s">
        <v>190</v>
      </c>
      <c r="B152" s="31">
        <f>'Design Converter'!H38/1000</f>
        <v>2.5</v>
      </c>
      <c r="C152" t="s">
        <v>10</v>
      </c>
      <c r="E152" t="s">
        <v>189</v>
      </c>
    </row>
    <row r="153" spans="1:5" x14ac:dyDescent="0.25">
      <c r="A153" t="s">
        <v>192</v>
      </c>
      <c r="B153" s="1">
        <f>IOUT*Dc_VIN_min/(Fsw*Vout_rip_sel)</f>
        <v>3.8181818181818182E-8</v>
      </c>
      <c r="C153" t="s">
        <v>193</v>
      </c>
      <c r="E153" t="s">
        <v>194</v>
      </c>
    </row>
    <row r="154" spans="1:5" x14ac:dyDescent="0.25">
      <c r="A154" t="s">
        <v>196</v>
      </c>
      <c r="B154" s="16">
        <f>SQRT((1-Dc_VIN_min)*((IOUT^2)*(Dc_VIN_min/((1-Dc_VIN_min)^2))+((ILrip_VINmin^2)/3)))</f>
        <v>0.11541719505420817</v>
      </c>
      <c r="C154" t="s">
        <v>11</v>
      </c>
      <c r="E154" t="s">
        <v>197</v>
      </c>
    </row>
    <row r="155" spans="1:5" x14ac:dyDescent="0.25">
      <c r="A155" t="s">
        <v>202</v>
      </c>
      <c r="B155" s="3">
        <f>'Design Converter'!H41*(10^-6)</f>
        <v>0</v>
      </c>
      <c r="C155" t="s">
        <v>193</v>
      </c>
      <c r="E155" t="s">
        <v>200</v>
      </c>
    </row>
    <row r="156" spans="1:5" x14ac:dyDescent="0.25">
      <c r="A156" t="s">
        <v>199</v>
      </c>
      <c r="B156" s="3">
        <f>'Design Converter'!H42/1000</f>
        <v>3</v>
      </c>
      <c r="C156" s="2" t="s">
        <v>36</v>
      </c>
      <c r="E156" t="s">
        <v>201</v>
      </c>
    </row>
    <row r="157" spans="1:5" x14ac:dyDescent="0.25">
      <c r="A157" t="s">
        <v>331</v>
      </c>
      <c r="B157">
        <f>SQRT((IOUT^2)+(IL_avg_VIN_min^2)-(2*IOUT*IL_avg_VIN_min)-(2*Dc_VIN_min*(IOUT^2))-(Dc_VIN_min*(IL_avg_VIN_min^2))+(2*Dc_VIN_min*IOUT*IL_avg_VIN_min))</f>
        <v>9.4472218138455966E-2</v>
      </c>
      <c r="E157" s="38" t="s">
        <v>332</v>
      </c>
    </row>
    <row r="159" spans="1:5" x14ac:dyDescent="0.25">
      <c r="A159" s="30" t="s">
        <v>350</v>
      </c>
    </row>
    <row r="160" spans="1:5" x14ac:dyDescent="0.25">
      <c r="A160" t="s">
        <v>335</v>
      </c>
      <c r="B160" s="12">
        <f>Iss</f>
        <v>9.9999999999999991E-6</v>
      </c>
      <c r="C160" t="s">
        <v>11</v>
      </c>
      <c r="E160" t="s">
        <v>337</v>
      </c>
    </row>
    <row r="161" spans="1:5" x14ac:dyDescent="0.25">
      <c r="A161" t="s">
        <v>338</v>
      </c>
      <c r="B161" s="1">
        <f>Iss*VOUT*Cout/(Vref*IOUT)</f>
        <v>0</v>
      </c>
      <c r="C161" t="s">
        <v>193</v>
      </c>
      <c r="E161" t="s">
        <v>339</v>
      </c>
    </row>
    <row r="162" spans="1:5" x14ac:dyDescent="0.25">
      <c r="A162" t="s">
        <v>340</v>
      </c>
      <c r="B162" s="3">
        <f>'Design Converter'!H46*(10^-3)</f>
        <v>0.02</v>
      </c>
      <c r="C162" t="s">
        <v>54</v>
      </c>
      <c r="E162" t="s">
        <v>341</v>
      </c>
    </row>
    <row r="163" spans="1:5" x14ac:dyDescent="0.25">
      <c r="A163" t="s">
        <v>344</v>
      </c>
      <c r="B163" s="1">
        <f>(tss*Iss)/(Vref*(1-(VIN_min/VOUT)))</f>
        <v>2.3809523809523809E-7</v>
      </c>
      <c r="C163" t="s">
        <v>193</v>
      </c>
      <c r="E163" t="s">
        <v>345</v>
      </c>
    </row>
    <row r="165" spans="1:5" x14ac:dyDescent="0.25">
      <c r="A165" s="30" t="s">
        <v>349</v>
      </c>
    </row>
    <row r="166" spans="1:5" x14ac:dyDescent="0.25">
      <c r="A166" t="s">
        <v>351</v>
      </c>
      <c r="B166" s="3">
        <f>'Design Converter'!H50</f>
        <v>22</v>
      </c>
      <c r="C166" t="s">
        <v>10</v>
      </c>
      <c r="E166" t="s">
        <v>353</v>
      </c>
    </row>
    <row r="167" spans="1:5" x14ac:dyDescent="0.25">
      <c r="A167" t="s">
        <v>352</v>
      </c>
      <c r="B167" s="3">
        <f>'Design Converter'!H51</f>
        <v>28</v>
      </c>
      <c r="C167" t="s">
        <v>10</v>
      </c>
      <c r="E167" t="s">
        <v>354</v>
      </c>
    </row>
    <row r="168" spans="1:5" x14ac:dyDescent="0.25">
      <c r="A168" t="s">
        <v>356</v>
      </c>
      <c r="B168" s="12">
        <f>UV_rise</f>
        <v>1.5</v>
      </c>
      <c r="C168" t="s">
        <v>10</v>
      </c>
      <c r="E168" t="s">
        <v>361</v>
      </c>
    </row>
    <row r="169" spans="1:5" x14ac:dyDescent="0.25">
      <c r="A169" t="s">
        <v>357</v>
      </c>
      <c r="B169" s="12">
        <f>UV_fall</f>
        <v>1.45</v>
      </c>
      <c r="C169" t="s">
        <v>10</v>
      </c>
      <c r="E169" t="s">
        <v>360</v>
      </c>
    </row>
    <row r="170" spans="1:5" x14ac:dyDescent="0.25">
      <c r="A170" t="s">
        <v>362</v>
      </c>
      <c r="B170" s="12">
        <f>UV_I_hyst</f>
        <v>4.9999999999999996E-6</v>
      </c>
      <c r="C170" t="s">
        <v>11</v>
      </c>
      <c r="E170" t="s">
        <v>364</v>
      </c>
    </row>
    <row r="171" spans="1:5" x14ac:dyDescent="0.25">
      <c r="A171" t="s">
        <v>365</v>
      </c>
      <c r="B171" s="18">
        <f>((Vuvlo_on*0.967)-Vuvlo_off)/(UV_I_hyst)</f>
        <v>-1345200</v>
      </c>
      <c r="C171" s="2" t="s">
        <v>36</v>
      </c>
      <c r="E171" t="s">
        <v>466</v>
      </c>
    </row>
    <row r="172" spans="1:5" x14ac:dyDescent="0.25">
      <c r="A172" t="s">
        <v>365</v>
      </c>
      <c r="B172" s="3">
        <f>'Design Converter'!H53*1000</f>
        <v>0</v>
      </c>
      <c r="C172" s="2" t="s">
        <v>36</v>
      </c>
      <c r="E172" t="s">
        <v>467</v>
      </c>
    </row>
    <row r="173" spans="1:5" x14ac:dyDescent="0.25">
      <c r="A173" t="s">
        <v>366</v>
      </c>
      <c r="B173" s="18">
        <f>UV_rise*Ruvlo_top/(Vuvlo_on-UV_rise)</f>
        <v>0</v>
      </c>
      <c r="C173" s="2" t="s">
        <v>36</v>
      </c>
      <c r="E173" t="s">
        <v>468</v>
      </c>
    </row>
    <row r="174" spans="1:5" x14ac:dyDescent="0.25">
      <c r="A174" t="s">
        <v>367</v>
      </c>
      <c r="B174" s="17" t="e">
        <f>UV_rise*(Ruvlo_top+Ruvlo_bottom_calc)/Ruvlo_bottom_calc</f>
        <v>#DIV/0!</v>
      </c>
      <c r="E174" t="s">
        <v>369</v>
      </c>
    </row>
    <row r="175" spans="1:5" x14ac:dyDescent="0.25">
      <c r="A175" t="s">
        <v>368</v>
      </c>
      <c r="B175" s="17" t="e">
        <f>Ruvlo_top*((UV_fall/Ruvlo_top)-(UV_I_hyst)+(UV_fall/Ruvlo_bottom_calc))</f>
        <v>#DIV/0!</v>
      </c>
      <c r="E175" t="s">
        <v>370</v>
      </c>
    </row>
    <row r="178" spans="1:5" x14ac:dyDescent="0.25">
      <c r="A178" s="30" t="s">
        <v>204</v>
      </c>
    </row>
    <row r="179" spans="1:5" x14ac:dyDescent="0.25">
      <c r="A179" s="34" t="s">
        <v>232</v>
      </c>
      <c r="B179" s="3" t="str">
        <f>'Design Converter'!H57</f>
        <v>24V</v>
      </c>
      <c r="C179" t="s">
        <v>10</v>
      </c>
      <c r="E179" t="s">
        <v>276</v>
      </c>
    </row>
    <row r="180" spans="1:5" x14ac:dyDescent="0.25">
      <c r="A180" s="34"/>
    </row>
    <row r="181" spans="1:5" x14ac:dyDescent="0.25">
      <c r="A181" s="33" t="s">
        <v>291</v>
      </c>
    </row>
    <row r="182" spans="1:5" x14ac:dyDescent="0.25">
      <c r="A182" t="s">
        <v>224</v>
      </c>
      <c r="B182" s="3">
        <f>'Design Converter'!H60*(10^3)</f>
        <v>130000</v>
      </c>
      <c r="C182" s="2" t="s">
        <v>36</v>
      </c>
      <c r="E182" t="s">
        <v>277</v>
      </c>
    </row>
    <row r="183" spans="1:5" x14ac:dyDescent="0.25">
      <c r="A183" t="s">
        <v>281</v>
      </c>
      <c r="B183" s="18">
        <f>(RFBT*Vref)/(VOUT-Vref)</f>
        <v>970.14925373134326</v>
      </c>
      <c r="C183" s="2" t="s">
        <v>36</v>
      </c>
      <c r="E183" t="s">
        <v>284</v>
      </c>
    </row>
    <row r="184" spans="1:5" x14ac:dyDescent="0.25">
      <c r="A184" t="s">
        <v>225</v>
      </c>
      <c r="B184" s="3">
        <f>'Design Converter'!H62*(10^3)</f>
        <v>1200</v>
      </c>
      <c r="C184" s="2" t="s">
        <v>36</v>
      </c>
      <c r="E184" t="s">
        <v>285</v>
      </c>
    </row>
    <row r="185" spans="1:5" x14ac:dyDescent="0.25">
      <c r="A185" t="s">
        <v>286</v>
      </c>
      <c r="B185" s="1">
        <f>VOUT/(RFBB+RFBT)</f>
        <v>1.0289634146341464E-3</v>
      </c>
      <c r="C185" s="2" t="s">
        <v>11</v>
      </c>
      <c r="E185" t="s">
        <v>287</v>
      </c>
    </row>
    <row r="186" spans="1:5" x14ac:dyDescent="0.25">
      <c r="C186" s="2"/>
    </row>
    <row r="187" spans="1:5" x14ac:dyDescent="0.25">
      <c r="A187" s="33" t="s">
        <v>292</v>
      </c>
      <c r="E187" t="s">
        <v>457</v>
      </c>
    </row>
    <row r="189" spans="1:5" x14ac:dyDescent="0.25">
      <c r="A189" t="s">
        <v>470</v>
      </c>
      <c r="B189">
        <f>(Gcomp*(VIN_min/VOUT)*(VOUT/IOUT))/(2*R_cs*Acs)</f>
        <v>261</v>
      </c>
    </row>
    <row r="191" spans="1:5" x14ac:dyDescent="0.25">
      <c r="A191" t="s">
        <v>471</v>
      </c>
      <c r="B191" s="12" t="e">
        <f>2/(Cout*(VOUT/IOUT))</f>
        <v>#DIV/0!</v>
      </c>
      <c r="C191" t="s">
        <v>454</v>
      </c>
      <c r="E191" t="s">
        <v>453</v>
      </c>
    </row>
    <row r="192" spans="1:5" x14ac:dyDescent="0.25">
      <c r="A192" t="s">
        <v>472</v>
      </c>
      <c r="B192" s="1" t="e">
        <f>B191/(2*PI())</f>
        <v>#DIV/0!</v>
      </c>
      <c r="C192" t="s">
        <v>69</v>
      </c>
      <c r="E192" t="s">
        <v>288</v>
      </c>
    </row>
    <row r="194" spans="1:5" x14ac:dyDescent="0.25">
      <c r="A194" t="s">
        <v>473</v>
      </c>
      <c r="B194" s="12" t="e">
        <f>1/(Cout*Resr)</f>
        <v>#DIV/0!</v>
      </c>
      <c r="C194" t="s">
        <v>455</v>
      </c>
      <c r="E194" t="s">
        <v>456</v>
      </c>
    </row>
    <row r="195" spans="1:5" x14ac:dyDescent="0.25">
      <c r="A195" t="s">
        <v>474</v>
      </c>
      <c r="B195" s="1" t="e">
        <f>B194/(2*PI())</f>
        <v>#DIV/0!</v>
      </c>
      <c r="C195" t="s">
        <v>69</v>
      </c>
      <c r="E195" t="s">
        <v>290</v>
      </c>
    </row>
    <row r="197" spans="1:5" x14ac:dyDescent="0.25">
      <c r="A197" t="s">
        <v>475</v>
      </c>
      <c r="B197" s="12">
        <f>((VOUT/IOUT)*((VIN_min/VOUT)^2))/(Lm)</f>
        <v>101647.05882352943</v>
      </c>
      <c r="E197" t="s">
        <v>452</v>
      </c>
    </row>
    <row r="198" spans="1:5" x14ac:dyDescent="0.25">
      <c r="A198" t="s">
        <v>476</v>
      </c>
      <c r="B198" s="18">
        <f>B197/(2*PI())</f>
        <v>16177.631862517364</v>
      </c>
      <c r="C198" t="s">
        <v>69</v>
      </c>
      <c r="E198" t="s">
        <v>289</v>
      </c>
    </row>
    <row r="199" spans="1:5" x14ac:dyDescent="0.25">
      <c r="B199">
        <f>Fsw/10</f>
        <v>44000</v>
      </c>
      <c r="C199" t="s">
        <v>69</v>
      </c>
      <c r="E199" t="s">
        <v>297</v>
      </c>
    </row>
    <row r="200" spans="1:5" x14ac:dyDescent="0.25">
      <c r="B200">
        <f>IF((B198/5)&lt;(B199),0,1)</f>
        <v>0</v>
      </c>
      <c r="E200" t="s">
        <v>299</v>
      </c>
    </row>
    <row r="202" spans="1:5" x14ac:dyDescent="0.25">
      <c r="A202" t="s">
        <v>477</v>
      </c>
      <c r="B202" s="1">
        <f>(Isl*(Rsl_int+R_sl)*Fsw)</f>
        <v>17595.599999999999</v>
      </c>
      <c r="C202" t="s">
        <v>180</v>
      </c>
      <c r="E202" t="s">
        <v>248</v>
      </c>
    </row>
    <row r="203" spans="1:5" x14ac:dyDescent="0.25">
      <c r="A203" t="s">
        <v>478</v>
      </c>
      <c r="B203" s="1">
        <f>(R_cs*VIN_min*Acs)/Lm</f>
        <v>3811.7647058823536</v>
      </c>
      <c r="C203" t="s">
        <v>180</v>
      </c>
      <c r="E203" t="s">
        <v>249</v>
      </c>
    </row>
    <row r="204" spans="1:5" x14ac:dyDescent="0.25">
      <c r="B204" s="1"/>
    </row>
    <row r="205" spans="1:5" x14ac:dyDescent="0.25">
      <c r="A205" t="s">
        <v>479</v>
      </c>
      <c r="B205" s="1">
        <f>2*PI()*Fsw</f>
        <v>2764601.5351590179</v>
      </c>
      <c r="C205" t="s">
        <v>251</v>
      </c>
    </row>
    <row r="206" spans="1:5" x14ac:dyDescent="0.25">
      <c r="A206" t="s">
        <v>480</v>
      </c>
      <c r="B206" s="1">
        <f>1/(PI()*(((VIN_min/VOUT)*(1+(B202/B203)))-0.5))</f>
        <v>0.79860829600604666</v>
      </c>
    </row>
    <row r="212" spans="1:5" x14ac:dyDescent="0.25">
      <c r="A212" t="s">
        <v>293</v>
      </c>
      <c r="B212" s="17">
        <f>IF(B200=0,fz_rhp/5,Fsw/10)</f>
        <v>3235.5263725034729</v>
      </c>
      <c r="C212" t="s">
        <v>69</v>
      </c>
      <c r="E212" t="s">
        <v>298</v>
      </c>
    </row>
    <row r="213" spans="1:5" x14ac:dyDescent="0.25">
      <c r="A213" t="s">
        <v>295</v>
      </c>
      <c r="B213" s="3">
        <f>'Design Converter'!H66*1000</f>
        <v>2000</v>
      </c>
      <c r="C213" t="s">
        <v>69</v>
      </c>
      <c r="E213" t="s">
        <v>296</v>
      </c>
    </row>
    <row r="215" spans="1:5" x14ac:dyDescent="0.25">
      <c r="A215" t="s">
        <v>304</v>
      </c>
      <c r="B215" s="20" t="e">
        <f>Gplant_fc_dB</f>
        <v>#DIV/0!</v>
      </c>
      <c r="C215" t="s">
        <v>275</v>
      </c>
      <c r="E215" t="s">
        <v>305</v>
      </c>
    </row>
    <row r="216" spans="1:5" x14ac:dyDescent="0.25">
      <c r="A216" t="s">
        <v>300</v>
      </c>
      <c r="B216" s="20" t="e">
        <f>10^(B215/20)</f>
        <v>#DIV/0!</v>
      </c>
      <c r="C216" t="s">
        <v>180</v>
      </c>
      <c r="E216" t="s">
        <v>301</v>
      </c>
    </row>
    <row r="217" spans="1:5" x14ac:dyDescent="0.25">
      <c r="A217" t="s">
        <v>306</v>
      </c>
      <c r="B217" s="20" t="e">
        <f>1/B216</f>
        <v>#DIV/0!</v>
      </c>
      <c r="C217" t="s">
        <v>180</v>
      </c>
      <c r="E217" t="s">
        <v>307</v>
      </c>
    </row>
    <row r="219" spans="1:5" x14ac:dyDescent="0.25">
      <c r="A219" t="s">
        <v>313</v>
      </c>
      <c r="B219">
        <f>fcross/10</f>
        <v>200</v>
      </c>
      <c r="C219" t="s">
        <v>69</v>
      </c>
      <c r="E219" t="s">
        <v>311</v>
      </c>
    </row>
    <row r="220" spans="1:5" x14ac:dyDescent="0.25">
      <c r="A220" t="s">
        <v>314</v>
      </c>
      <c r="B220" s="35" t="e">
        <f>SQRT(B192*fcross)</f>
        <v>#DIV/0!</v>
      </c>
      <c r="C220" t="s">
        <v>69</v>
      </c>
      <c r="E220" t="s">
        <v>312</v>
      </c>
    </row>
    <row r="221" spans="1:5" x14ac:dyDescent="0.25">
      <c r="A221" t="s">
        <v>310</v>
      </c>
      <c r="B221" s="35" t="e">
        <f>B220</f>
        <v>#DIV/0!</v>
      </c>
      <c r="C221" t="s">
        <v>69</v>
      </c>
    </row>
    <row r="223" spans="1:5" x14ac:dyDescent="0.25">
      <c r="A223" t="s">
        <v>317</v>
      </c>
      <c r="B223" s="32">
        <f>fz_rhp</f>
        <v>16177.631862517364</v>
      </c>
      <c r="C223" t="s">
        <v>69</v>
      </c>
      <c r="E223" t="s">
        <v>490</v>
      </c>
    </row>
    <row r="224" spans="1:5" x14ac:dyDescent="0.25">
      <c r="E224" t="s">
        <v>491</v>
      </c>
    </row>
    <row r="227" spans="1:5" x14ac:dyDescent="0.25">
      <c r="A227" t="s">
        <v>308</v>
      </c>
      <c r="B227" s="23" t="e">
        <f>(Gea_mid_calc*(RFBT+RFBB)/(RFBB*gm_ea))</f>
        <v>#DIV/0!</v>
      </c>
      <c r="C227" s="2" t="s">
        <v>36</v>
      </c>
      <c r="E227" t="s">
        <v>309</v>
      </c>
    </row>
    <row r="228" spans="1:5" x14ac:dyDescent="0.25">
      <c r="A228" t="s">
        <v>214</v>
      </c>
      <c r="B228" s="3">
        <f>'Design Converter'!H69*1000</f>
        <v>10000</v>
      </c>
      <c r="C228" s="2" t="s">
        <v>36</v>
      </c>
      <c r="E228" t="s">
        <v>221</v>
      </c>
    </row>
    <row r="229" spans="1:5" x14ac:dyDescent="0.25">
      <c r="A229" t="s">
        <v>315</v>
      </c>
      <c r="B229" s="36" t="e">
        <f>1/(2*PI()*fz_ea_est*Rcomp_calc)</f>
        <v>#DIV/0!</v>
      </c>
      <c r="C229" s="2" t="s">
        <v>193</v>
      </c>
    </row>
    <row r="230" spans="1:5" x14ac:dyDescent="0.25">
      <c r="A230" t="s">
        <v>219</v>
      </c>
      <c r="B230" s="3">
        <f>'Design Converter'!H70*(10^-9)</f>
        <v>2.2000000000000002E-8</v>
      </c>
      <c r="C230" t="s">
        <v>193</v>
      </c>
      <c r="E230" t="s">
        <v>222</v>
      </c>
    </row>
    <row r="231" spans="1:5" x14ac:dyDescent="0.25">
      <c r="A231" t="s">
        <v>316</v>
      </c>
      <c r="B231" s="36" t="e">
        <f>(CComp_calc)/((CComp_calc*Rcomp_calc*2*PI()*fp_ea_est)-1)</f>
        <v>#DIV/0!</v>
      </c>
      <c r="C231" t="s">
        <v>193</v>
      </c>
    </row>
    <row r="232" spans="1:5" x14ac:dyDescent="0.25">
      <c r="A232" t="s">
        <v>220</v>
      </c>
      <c r="B232" s="3">
        <f>'Design Converter'!H71*(10^-12)</f>
        <v>2.1999999999999999E-10</v>
      </c>
      <c r="C232" t="s">
        <v>193</v>
      </c>
      <c r="E232" t="s">
        <v>223</v>
      </c>
    </row>
    <row r="235" spans="1:5" x14ac:dyDescent="0.25">
      <c r="A235" s="30" t="s">
        <v>379</v>
      </c>
    </row>
    <row r="236" spans="1:5" x14ac:dyDescent="0.25">
      <c r="A236" s="30" t="s">
        <v>398</v>
      </c>
    </row>
    <row r="237" spans="1:5" x14ac:dyDescent="0.25">
      <c r="A237" s="52" t="s">
        <v>461</v>
      </c>
      <c r="E237" t="s">
        <v>462</v>
      </c>
    </row>
    <row r="238" spans="1:5" x14ac:dyDescent="0.25">
      <c r="A238" t="s">
        <v>380</v>
      </c>
      <c r="B238">
        <f>'Design Converter'!H86/1000</f>
        <v>0.8</v>
      </c>
      <c r="C238" t="s">
        <v>10</v>
      </c>
      <c r="E238" t="s">
        <v>381</v>
      </c>
    </row>
    <row r="239" spans="1:5" x14ac:dyDescent="0.25">
      <c r="A239" t="s">
        <v>411</v>
      </c>
      <c r="B239">
        <f>'Design Converter'!H87*(10^-9)</f>
        <v>1E-8</v>
      </c>
      <c r="C239" t="s">
        <v>409</v>
      </c>
      <c r="E239" t="s">
        <v>410</v>
      </c>
    </row>
    <row r="242" spans="1:8" x14ac:dyDescent="0.25">
      <c r="A242" s="30" t="s">
        <v>401</v>
      </c>
    </row>
    <row r="243" spans="1:8" ht="15.75" x14ac:dyDescent="0.3">
      <c r="A243" t="s">
        <v>412</v>
      </c>
      <c r="B243" s="3">
        <f>'Design Converter'!H76*(10^-3)</f>
        <v>0.28000000000000003</v>
      </c>
      <c r="C243" s="2" t="s">
        <v>36</v>
      </c>
      <c r="E243" s="44" t="s">
        <v>387</v>
      </c>
    </row>
    <row r="244" spans="1:8" ht="15.75" x14ac:dyDescent="0.3">
      <c r="A244" t="s">
        <v>402</v>
      </c>
      <c r="B244" s="3">
        <f>'Design Converter'!H77*(10^-9)</f>
        <v>1.5300000000000001E-8</v>
      </c>
      <c r="C244" t="s">
        <v>193</v>
      </c>
      <c r="E244" s="44" t="s">
        <v>388</v>
      </c>
    </row>
    <row r="245" spans="1:8" ht="15.75" x14ac:dyDescent="0.3">
      <c r="A245" t="s">
        <v>404</v>
      </c>
      <c r="B245" s="3">
        <f>'Design Converter'!H78*(10^-9)</f>
        <v>5.2000000000000002E-9</v>
      </c>
      <c r="C245" t="s">
        <v>193</v>
      </c>
      <c r="E245" s="44" t="s">
        <v>389</v>
      </c>
    </row>
    <row r="246" spans="1:8" ht="15.75" x14ac:dyDescent="0.3">
      <c r="A246" t="s">
        <v>403</v>
      </c>
      <c r="B246" s="3">
        <f>'Design Converter'!H79*(10^-9)</f>
        <v>3.7000000000000005E-9</v>
      </c>
      <c r="C246" t="s">
        <v>193</v>
      </c>
      <c r="E246" s="44" t="s">
        <v>390</v>
      </c>
    </row>
    <row r="247" spans="1:8" ht="15.75" x14ac:dyDescent="0.3">
      <c r="A247" t="s">
        <v>405</v>
      </c>
      <c r="B247" s="3">
        <f>'Design Converter'!H80</f>
        <v>11</v>
      </c>
      <c r="C247" s="2" t="s">
        <v>36</v>
      </c>
      <c r="E247" s="44" t="s">
        <v>391</v>
      </c>
    </row>
    <row r="248" spans="1:8" x14ac:dyDescent="0.25">
      <c r="A248" t="s">
        <v>413</v>
      </c>
      <c r="B248" s="12">
        <v>1.5</v>
      </c>
      <c r="C248" s="2"/>
      <c r="E248" s="44" t="s">
        <v>414</v>
      </c>
      <c r="H248" t="s">
        <v>423</v>
      </c>
    </row>
    <row r="249" spans="1:8" ht="15.75" x14ac:dyDescent="0.3">
      <c r="A249" t="s">
        <v>406</v>
      </c>
      <c r="B249" s="3">
        <f>'Design Converter'!H81</f>
        <v>60</v>
      </c>
      <c r="C249" s="2" t="s">
        <v>397</v>
      </c>
      <c r="E249" s="44" t="s">
        <v>392</v>
      </c>
    </row>
    <row r="250" spans="1:8" ht="15.75" x14ac:dyDescent="0.3">
      <c r="A250" t="s">
        <v>407</v>
      </c>
      <c r="B250" s="3">
        <f>'Design Converter'!H82</f>
        <v>4</v>
      </c>
      <c r="C250" s="2" t="s">
        <v>10</v>
      </c>
      <c r="E250" s="44" t="s">
        <v>393</v>
      </c>
    </row>
    <row r="251" spans="1:8" x14ac:dyDescent="0.25">
      <c r="A251" t="s">
        <v>419</v>
      </c>
      <c r="B251" s="12">
        <f>Vcc</f>
        <v>6.75</v>
      </c>
      <c r="C251" s="2" t="s">
        <v>10</v>
      </c>
      <c r="E251" s="44" t="s">
        <v>424</v>
      </c>
    </row>
    <row r="252" spans="1:8" x14ac:dyDescent="0.25">
      <c r="C252" s="2"/>
      <c r="E252" s="44"/>
    </row>
    <row r="253" spans="1:8" x14ac:dyDescent="0.25">
      <c r="C253" s="2"/>
      <c r="E253" s="44"/>
    </row>
    <row r="254" spans="1:8" x14ac:dyDescent="0.25">
      <c r="A254" t="s">
        <v>415</v>
      </c>
      <c r="B254" s="27">
        <f>Vth+(((VOUT*IOUT)/VIN_min)/gfs)</f>
        <v>4.005208333333333</v>
      </c>
      <c r="C254" s="2" t="s">
        <v>10</v>
      </c>
      <c r="E254" s="44" t="s">
        <v>416</v>
      </c>
    </row>
    <row r="255" spans="1:8" x14ac:dyDescent="0.25">
      <c r="A255" t="s">
        <v>425</v>
      </c>
      <c r="B255" s="1">
        <f>(Qgd+(Qgs/2))*((Rgate+B248)/(Vcc-B254))</f>
        <v>3.2106261859582545E-8</v>
      </c>
      <c r="C255" s="2" t="s">
        <v>54</v>
      </c>
      <c r="E255" s="44" t="s">
        <v>417</v>
      </c>
    </row>
    <row r="256" spans="1:8" ht="15.75" thickBot="1" x14ac:dyDescent="0.3">
      <c r="A256" t="s">
        <v>426</v>
      </c>
      <c r="B256" s="1">
        <f>(Qgd+(Qgs/2))*((B248+Rgate)/B254)</f>
        <v>2.2002600780234073E-8</v>
      </c>
      <c r="C256" t="s">
        <v>54</v>
      </c>
      <c r="E256" s="45" t="s">
        <v>418</v>
      </c>
    </row>
  </sheetData>
  <mergeCells count="2">
    <mergeCell ref="A1:J1"/>
    <mergeCell ref="E5:H5"/>
  </mergeCells>
  <pageMargins left="0.7" right="0.7" top="0.75" bottom="0.75" header="0.3" footer="0.3"/>
  <pageSetup orientation="portrait" r:id="rId1"/>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57150</xdr:colOff>
                <xdr:row>154</xdr:row>
                <xdr:rowOff>133350</xdr:rowOff>
              </from>
              <to>
                <xdr:col>12</xdr:col>
                <xdr:colOff>390525</xdr:colOff>
                <xdr:row>157</xdr:row>
                <xdr:rowOff>19050</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T157"/>
  <sheetViews>
    <sheetView topLeftCell="R1" zoomScale="85" zoomScaleNormal="85" workbookViewId="0">
      <pane ySplit="6" topLeftCell="A135" activePane="bottomLeft" state="frozen"/>
      <selection activeCell="N8" sqref="N8"/>
      <selection pane="bottomLeft" activeCell="N8" sqref="N8"/>
    </sheetView>
  </sheetViews>
  <sheetFormatPr defaultRowHeight="15" x14ac:dyDescent="0.25"/>
  <cols>
    <col min="10" max="10" width="10" bestFit="1" customWidth="1"/>
    <col min="18" max="18" width="8.85546875"/>
    <col min="21" max="21" width="8.85546875"/>
    <col min="24" max="24" width="8.85546875"/>
    <col min="25" max="25" width="12" bestFit="1" customWidth="1"/>
    <col min="28" max="28" width="8.85546875"/>
    <col min="30" max="30" width="8.85546875"/>
    <col min="35" max="35" width="8.85546875"/>
    <col min="39" max="39" width="11" bestFit="1" customWidth="1"/>
    <col min="42" max="43" width="8.85546875"/>
  </cols>
  <sheetData>
    <row r="1" spans="1:46" ht="27.75" x14ac:dyDescent="0.4">
      <c r="A1" s="229" t="s">
        <v>15</v>
      </c>
      <c r="B1" s="229"/>
      <c r="C1" s="229"/>
      <c r="D1" s="229"/>
      <c r="E1" s="229"/>
      <c r="F1" s="229"/>
      <c r="G1" s="229"/>
      <c r="H1" s="229"/>
      <c r="I1" s="229"/>
      <c r="J1" s="229"/>
      <c r="K1" s="229"/>
      <c r="L1" s="229"/>
      <c r="M1" s="229"/>
    </row>
    <row r="4" spans="1:46" ht="15.75" thickBot="1" x14ac:dyDescent="0.3">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row>
    <row r="5" spans="1:46" ht="30" x14ac:dyDescent="0.25">
      <c r="R5" s="234" t="s">
        <v>372</v>
      </c>
      <c r="S5" s="235"/>
      <c r="T5" s="235"/>
      <c r="U5" s="236"/>
      <c r="V5" s="234" t="s">
        <v>373</v>
      </c>
      <c r="W5" s="235"/>
      <c r="X5" s="236"/>
      <c r="Y5" s="234" t="s">
        <v>446</v>
      </c>
      <c r="Z5" s="235"/>
      <c r="AA5" s="235"/>
      <c r="AB5" s="235"/>
      <c r="AC5" s="235"/>
      <c r="AD5" s="236"/>
      <c r="AE5" s="234" t="s">
        <v>445</v>
      </c>
      <c r="AF5" s="235"/>
      <c r="AG5" s="235"/>
      <c r="AH5" s="235"/>
      <c r="AI5" s="236"/>
      <c r="AJ5" s="234" t="s">
        <v>447</v>
      </c>
      <c r="AK5" s="235"/>
      <c r="AL5" s="235"/>
      <c r="AM5" s="235"/>
      <c r="AN5" s="236"/>
      <c r="AO5" s="231" t="s">
        <v>442</v>
      </c>
      <c r="AP5" s="232"/>
      <c r="AQ5" s="233"/>
      <c r="AR5" s="49" t="s">
        <v>435</v>
      </c>
      <c r="AS5" s="50"/>
      <c r="AT5" s="51"/>
    </row>
    <row r="6" spans="1:46" ht="18" x14ac:dyDescent="0.35">
      <c r="R6" s="39" t="s">
        <v>31</v>
      </c>
      <c r="S6" s="37" t="s">
        <v>33</v>
      </c>
      <c r="T6" s="37" t="s">
        <v>327</v>
      </c>
      <c r="U6" s="40" t="s">
        <v>330</v>
      </c>
      <c r="V6" s="39" t="s">
        <v>328</v>
      </c>
      <c r="W6" s="37" t="s">
        <v>329</v>
      </c>
      <c r="X6" s="40" t="s">
        <v>377</v>
      </c>
      <c r="Y6" s="39" t="s">
        <v>374</v>
      </c>
      <c r="Z6" s="37" t="s">
        <v>376</v>
      </c>
      <c r="AA6" s="37" t="s">
        <v>375</v>
      </c>
      <c r="AB6" s="46" t="s">
        <v>383</v>
      </c>
      <c r="AC6" s="46" t="s">
        <v>384</v>
      </c>
      <c r="AD6" s="48" t="s">
        <v>433</v>
      </c>
      <c r="AE6" s="39" t="s">
        <v>427</v>
      </c>
      <c r="AF6" s="37" t="s">
        <v>428</v>
      </c>
      <c r="AG6" s="46" t="s">
        <v>430</v>
      </c>
      <c r="AH6" s="46" t="s">
        <v>429</v>
      </c>
      <c r="AI6" s="48" t="s">
        <v>431</v>
      </c>
      <c r="AJ6" s="39" t="s">
        <v>382</v>
      </c>
      <c r="AK6" s="37" t="s">
        <v>378</v>
      </c>
      <c r="AL6" s="37" t="s">
        <v>385</v>
      </c>
      <c r="AM6" s="37" t="s">
        <v>386</v>
      </c>
      <c r="AN6" s="40" t="s">
        <v>432</v>
      </c>
      <c r="AO6" s="39" t="s">
        <v>434</v>
      </c>
      <c r="AP6" s="37" t="s">
        <v>437</v>
      </c>
      <c r="AQ6" s="40" t="s">
        <v>438</v>
      </c>
      <c r="AR6" s="39" t="s">
        <v>436</v>
      </c>
      <c r="AS6" s="37" t="s">
        <v>444</v>
      </c>
      <c r="AT6" s="40" t="s">
        <v>443</v>
      </c>
    </row>
    <row r="7" spans="1:46" x14ac:dyDescent="0.25">
      <c r="Q7">
        <v>0</v>
      </c>
      <c r="R7" s="39">
        <f t="shared" ref="R7:R70" si="0">VOUT</f>
        <v>135</v>
      </c>
      <c r="S7" s="37">
        <f t="shared" ref="S7:S38" si="1">Q7*$O$12</f>
        <v>0</v>
      </c>
      <c r="T7" s="37">
        <f t="shared" ref="T7:T70" si="2">VIN_var</f>
        <v>24</v>
      </c>
      <c r="U7" s="40">
        <f t="shared" ref="U7:U38" si="3">(R7*S7)/(T7*EFF_est)</f>
        <v>0</v>
      </c>
      <c r="V7" s="39">
        <f t="shared" ref="V7:V38" si="4">IF((S7*R7/T7)&lt;((T7*(1-(T7/R7)))/(2*Lm*Fsw)),1,2)</f>
        <v>1</v>
      </c>
      <c r="W7" s="37">
        <f t="shared" ref="W7:W38" si="5">CHOOSE(V7,SQRT((2*S7*Lm*Fsw*(R7-T7))/((T7)^2)),1-(T7/R7))</f>
        <v>0</v>
      </c>
      <c r="X7" s="40">
        <f t="shared" ref="X7:X38" si="6">CHOOSE(V7,(Lm*W7*Fsw)/(R7-T7),1-W7)</f>
        <v>0</v>
      </c>
      <c r="Y7" s="39">
        <f t="shared" ref="Y7:Y38" si="7">(T7*W7)/(Lm*Fsw)</f>
        <v>0</v>
      </c>
      <c r="Z7" s="37">
        <f>CHOOSE(V7,Y7,U7+(0.5*Y7))</f>
        <v>0</v>
      </c>
      <c r="AA7" s="37">
        <f>CHOOSE(V7,Z7*SQRT((W7+X7)/3),SQRT((U7^2)+((Y7^2)/12)))</f>
        <v>0</v>
      </c>
      <c r="AB7" s="37">
        <v>0</v>
      </c>
      <c r="AC7" s="37">
        <f t="shared" ref="AC7:AC38" si="8">(AA7^2)*Rdcr</f>
        <v>0</v>
      </c>
      <c r="AD7" s="40">
        <f>AB7+AC7</f>
        <v>0</v>
      </c>
      <c r="AE7" s="39">
        <f>U7*W7</f>
        <v>0</v>
      </c>
      <c r="AF7" s="37">
        <f>CHOOSE(V7,Z7*SQRT(W7/3),SQRT(W7*((Z7^2)+((Y7^2)/3)-(Z7*Y7))))</f>
        <v>0</v>
      </c>
      <c r="AG7" s="37">
        <f t="shared" ref="AG7:AG38" si="9">(AF7^2)*RDS_on</f>
        <v>0</v>
      </c>
      <c r="AH7" s="37">
        <f t="shared" ref="AH7:AH38" si="10">((R7*U7)/2)*Fsw*(tr_sw+tf_sw)</f>
        <v>0</v>
      </c>
      <c r="AI7" s="40">
        <f>AG7+AH7</f>
        <v>0</v>
      </c>
      <c r="AJ7" s="39">
        <f>X7*U7</f>
        <v>0</v>
      </c>
      <c r="AK7" s="37">
        <f t="shared" ref="AK7:AK38" si="11">CHOOSE(V7,Z7*SQRT(X7/3),SQRT(X7*((Z7^2)+((Y7^2)/3)-(Y7*Z7))))</f>
        <v>0</v>
      </c>
      <c r="AL7" s="37">
        <f t="shared" ref="AL7:AL38" si="12">S7*Vd_rect</f>
        <v>0</v>
      </c>
      <c r="AM7" s="37">
        <f t="shared" ref="AM7:AM38" si="13">CHOOSE(V7,(R7+Vd_rect)*Qrr*Fsw,(R7+Vd_rect)*Qrr*Fsw)</f>
        <v>0.59752000000000005</v>
      </c>
      <c r="AN7" s="40">
        <f>AL7+AM7</f>
        <v>0.59752000000000005</v>
      </c>
      <c r="AO7" s="39">
        <f t="shared" ref="AO7:AO38" si="14">(AF7^2)*R_cs</f>
        <v>0</v>
      </c>
      <c r="AP7" s="37">
        <f t="shared" ref="AP7:AP38" si="15">Qg_tot*Vcc*Fsw</f>
        <v>4.5441000000000002E-2</v>
      </c>
      <c r="AQ7" s="40">
        <f t="shared" ref="AQ7:AQ38" si="16">IQ*T7</f>
        <v>1.0800000000000001E-2</v>
      </c>
      <c r="AR7" s="39">
        <f>AO7+AN7+AI7+AD7+AP7+AQ7</f>
        <v>0.65376100000000004</v>
      </c>
      <c r="AS7" s="37">
        <f>R7*S7</f>
        <v>0</v>
      </c>
      <c r="AT7" s="40">
        <f>(AS7/(AS7+AR7))*100</f>
        <v>0</v>
      </c>
    </row>
    <row r="8" spans="1:46" x14ac:dyDescent="0.25">
      <c r="M8">
        <f>Fsw</f>
        <v>440000</v>
      </c>
      <c r="Q8">
        <v>1</v>
      </c>
      <c r="R8" s="39">
        <f t="shared" si="0"/>
        <v>135</v>
      </c>
      <c r="S8" s="37">
        <f t="shared" si="1"/>
        <v>3.3333333333333338E-4</v>
      </c>
      <c r="T8" s="37">
        <f t="shared" si="2"/>
        <v>24</v>
      </c>
      <c r="U8" s="40">
        <f t="shared" si="3"/>
        <v>2.0833333333333333E-3</v>
      </c>
      <c r="V8" s="39">
        <f t="shared" si="4"/>
        <v>1</v>
      </c>
      <c r="W8" s="37">
        <f t="shared" si="5"/>
        <v>0.19605838132783024</v>
      </c>
      <c r="X8" s="40">
        <f t="shared" si="6"/>
        <v>0.52847448372330452</v>
      </c>
      <c r="Y8" s="39">
        <f t="shared" si="7"/>
        <v>1.5726608127900821E-2</v>
      </c>
      <c r="Z8" s="37">
        <f t="shared" ref="Z8:Z15" si="17">CHOOSE(V8,Y8,U8+(0.5*Y8))</f>
        <v>1.5726608127900821E-2</v>
      </c>
      <c r="AA8" s="37">
        <f t="shared" ref="AA8:AA15" si="18">CHOOSE(V8,Z8*SQRT((W8+X8)/3),SQRT((U8^2)+((Y8^2)/12)))</f>
        <v>7.728647199713422E-3</v>
      </c>
      <c r="AB8" s="37">
        <v>0</v>
      </c>
      <c r="AC8" s="37">
        <f t="shared" si="8"/>
        <v>6.5705186291401937E-5</v>
      </c>
      <c r="AD8" s="40">
        <f t="shared" ref="AD8:AD71" si="19">AB8+AC8</f>
        <v>6.5705186291401937E-5</v>
      </c>
      <c r="AE8" s="39">
        <f>U8*W8</f>
        <v>4.0845496109964631E-4</v>
      </c>
      <c r="AF8" s="37">
        <f t="shared" ref="AF8:AF71" si="20">CHOOSE(V8,Z8*SQRT(W8/3),SQRT(W8*((Z8^2)+((Y8^2)/3)-(Z8*Y8))))</f>
        <v>4.0203803742526458E-3</v>
      </c>
      <c r="AG8" s="37">
        <f t="shared" si="9"/>
        <v>4.5257683390292374E-6</v>
      </c>
      <c r="AH8" s="37">
        <f t="shared" si="10"/>
        <v>3.3479858758386533E-3</v>
      </c>
      <c r="AI8" s="40">
        <f t="shared" ref="AI8:AI71" si="21">AG8+AH8</f>
        <v>3.3525116441776824E-3</v>
      </c>
      <c r="AJ8" s="39">
        <f t="shared" ref="AJ8:AJ71" si="22">X8*U8</f>
        <v>1.1009885077568845E-3</v>
      </c>
      <c r="AK8" s="37">
        <f t="shared" si="11"/>
        <v>6.6006461186737071E-3</v>
      </c>
      <c r="AL8" s="37">
        <f t="shared" si="12"/>
        <v>2.6666666666666673E-4</v>
      </c>
      <c r="AM8" s="37">
        <f t="shared" si="13"/>
        <v>0.59752000000000005</v>
      </c>
      <c r="AN8" s="40">
        <f t="shared" ref="AN8:AN71" si="23">AL8+AM8</f>
        <v>0.59778666666666669</v>
      </c>
      <c r="AO8" s="39">
        <f t="shared" si="14"/>
        <v>1.9396150024411013E-6</v>
      </c>
      <c r="AP8" s="37">
        <f t="shared" si="15"/>
        <v>4.5441000000000002E-2</v>
      </c>
      <c r="AQ8" s="40">
        <f t="shared" si="16"/>
        <v>1.0800000000000001E-2</v>
      </c>
      <c r="AR8" s="39">
        <f t="shared" ref="AR8:AR71" si="24">AO8+AN8+AI8+AD8+AP8+AQ8</f>
        <v>0.65744782311213823</v>
      </c>
      <c r="AS8" s="37">
        <f t="shared" ref="AS8:AS71" si="25">R8*S8</f>
        <v>4.5000000000000005E-2</v>
      </c>
      <c r="AT8" s="40">
        <f t="shared" ref="AT8:AT71" si="26">(AS8/(AS8+AR8))*100</f>
        <v>6.4061697565850713</v>
      </c>
    </row>
    <row r="9" spans="1:46" x14ac:dyDescent="0.25">
      <c r="N9" s="37" t="s">
        <v>233</v>
      </c>
      <c r="O9" s="37">
        <f>VIN_var</f>
        <v>24</v>
      </c>
      <c r="P9" t="s">
        <v>10</v>
      </c>
      <c r="Q9">
        <v>2</v>
      </c>
      <c r="R9" s="39">
        <f t="shared" si="0"/>
        <v>135</v>
      </c>
      <c r="S9" s="37">
        <f t="shared" si="1"/>
        <v>6.6666666666666675E-4</v>
      </c>
      <c r="T9" s="37">
        <f t="shared" si="2"/>
        <v>24</v>
      </c>
      <c r="U9" s="40">
        <f t="shared" si="3"/>
        <v>4.1666666666666666E-3</v>
      </c>
      <c r="V9" s="39">
        <f t="shared" si="4"/>
        <v>1</v>
      </c>
      <c r="W9" s="37">
        <f t="shared" si="5"/>
        <v>0.27726842189073347</v>
      </c>
      <c r="X9" s="40">
        <f t="shared" si="6"/>
        <v>0.74737578224961654</v>
      </c>
      <c r="Y9" s="39">
        <f t="shared" si="7"/>
        <v>2.224078250460429E-2</v>
      </c>
      <c r="Z9" s="37">
        <f t="shared" si="17"/>
        <v>2.224078250460429E-2</v>
      </c>
      <c r="AA9" s="37">
        <f t="shared" si="18"/>
        <v>1.2997983449999348E-2</v>
      </c>
      <c r="AB9" s="37">
        <v>0</v>
      </c>
      <c r="AC9" s="37">
        <f t="shared" si="8"/>
        <v>1.8584233114310266E-4</v>
      </c>
      <c r="AD9" s="40">
        <f t="shared" si="19"/>
        <v>1.8584233114310266E-4</v>
      </c>
      <c r="AE9" s="39">
        <f t="shared" ref="AE9:AE72" si="27">U9*W9</f>
        <v>1.1552850912113894E-3</v>
      </c>
      <c r="AF9" s="37">
        <f t="shared" si="20"/>
        <v>6.7614468893308728E-3</v>
      </c>
      <c r="AG9" s="37">
        <f t="shared" si="9"/>
        <v>1.2800805930427798E-5</v>
      </c>
      <c r="AH9" s="37">
        <f t="shared" si="10"/>
        <v>6.6959717516773066E-3</v>
      </c>
      <c r="AI9" s="40">
        <f t="shared" si="21"/>
        <v>6.7087725576077343E-3</v>
      </c>
      <c r="AJ9" s="39">
        <f t="shared" si="22"/>
        <v>3.1140657593734023E-3</v>
      </c>
      <c r="AK9" s="37">
        <f t="shared" si="11"/>
        <v>1.1100919319102127E-2</v>
      </c>
      <c r="AL9" s="37">
        <f t="shared" si="12"/>
        <v>5.3333333333333347E-4</v>
      </c>
      <c r="AM9" s="37">
        <f t="shared" si="13"/>
        <v>0.59752000000000005</v>
      </c>
      <c r="AN9" s="40">
        <f t="shared" si="23"/>
        <v>0.59805333333333344</v>
      </c>
      <c r="AO9" s="39">
        <f t="shared" si="14"/>
        <v>5.4860596844690561E-6</v>
      </c>
      <c r="AP9" s="37">
        <f t="shared" si="15"/>
        <v>4.5441000000000002E-2</v>
      </c>
      <c r="AQ9" s="40">
        <f t="shared" si="16"/>
        <v>1.0800000000000001E-2</v>
      </c>
      <c r="AR9" s="39">
        <f t="shared" si="24"/>
        <v>0.66119443428176861</v>
      </c>
      <c r="AS9" s="37">
        <f t="shared" si="25"/>
        <v>9.0000000000000011E-2</v>
      </c>
      <c r="AT9" s="40">
        <f t="shared" si="26"/>
        <v>11.980919438793599</v>
      </c>
    </row>
    <row r="10" spans="1:46" x14ac:dyDescent="0.25">
      <c r="N10" s="37"/>
      <c r="O10" s="37"/>
      <c r="Q10">
        <v>3</v>
      </c>
      <c r="R10" s="39">
        <f t="shared" si="0"/>
        <v>135</v>
      </c>
      <c r="S10" s="37">
        <f t="shared" si="1"/>
        <v>1E-3</v>
      </c>
      <c r="T10" s="37">
        <f t="shared" si="2"/>
        <v>24</v>
      </c>
      <c r="U10" s="40">
        <f t="shared" si="3"/>
        <v>6.2500000000000003E-3</v>
      </c>
      <c r="V10" s="39">
        <f t="shared" si="4"/>
        <v>1</v>
      </c>
      <c r="W10" s="37">
        <f t="shared" si="5"/>
        <v>0.33958307770951524</v>
      </c>
      <c r="X10" s="40">
        <f t="shared" si="6"/>
        <v>0.91534465631249506</v>
      </c>
      <c r="Y10" s="39">
        <f t="shared" si="7"/>
        <v>2.7239284308249886E-2</v>
      </c>
      <c r="Z10" s="37">
        <f t="shared" si="17"/>
        <v>2.7239284308249886E-2</v>
      </c>
      <c r="AA10" s="37">
        <f t="shared" si="18"/>
        <v>1.7617505832460523E-2</v>
      </c>
      <c r="AB10" s="37">
        <v>0</v>
      </c>
      <c r="AC10" s="37">
        <f t="shared" si="8"/>
        <v>3.414141629324586E-4</v>
      </c>
      <c r="AD10" s="40">
        <f t="shared" si="19"/>
        <v>3.414141629324586E-4</v>
      </c>
      <c r="AE10" s="39">
        <f t="shared" si="27"/>
        <v>2.1223942356844703E-3</v>
      </c>
      <c r="AF10" s="37">
        <f t="shared" si="20"/>
        <v>9.1644854347513963E-3</v>
      </c>
      <c r="AG10" s="37">
        <f t="shared" si="9"/>
        <v>2.351658211945574E-5</v>
      </c>
      <c r="AH10" s="37">
        <f t="shared" si="10"/>
        <v>1.004395762751596E-2</v>
      </c>
      <c r="AI10" s="40">
        <f t="shared" si="21"/>
        <v>1.0067474209635417E-2</v>
      </c>
      <c r="AJ10" s="39">
        <f t="shared" si="22"/>
        <v>5.7209041019530942E-3</v>
      </c>
      <c r="AK10" s="37">
        <f t="shared" si="11"/>
        <v>1.5046219407977877E-2</v>
      </c>
      <c r="AL10" s="37">
        <f t="shared" si="12"/>
        <v>8.0000000000000004E-4</v>
      </c>
      <c r="AM10" s="37">
        <f t="shared" si="13"/>
        <v>0.59752000000000005</v>
      </c>
      <c r="AN10" s="40">
        <f t="shared" si="23"/>
        <v>0.59832000000000007</v>
      </c>
      <c r="AO10" s="39">
        <f t="shared" si="14"/>
        <v>1.0078535194052459E-5</v>
      </c>
      <c r="AP10" s="37">
        <f t="shared" si="15"/>
        <v>4.5441000000000002E-2</v>
      </c>
      <c r="AQ10" s="40">
        <f t="shared" si="16"/>
        <v>1.0800000000000001E-2</v>
      </c>
      <c r="AR10" s="39">
        <f t="shared" si="24"/>
        <v>0.66497996690776195</v>
      </c>
      <c r="AS10" s="37">
        <f t="shared" si="25"/>
        <v>0.13500000000000001</v>
      </c>
      <c r="AT10" s="40">
        <f t="shared" si="26"/>
        <v>16.875422583621468</v>
      </c>
    </row>
    <row r="11" spans="1:46" x14ac:dyDescent="0.25">
      <c r="N11" s="37" t="s">
        <v>325</v>
      </c>
      <c r="O11" s="37">
        <v>150</v>
      </c>
      <c r="Q11">
        <v>4</v>
      </c>
      <c r="R11" s="39">
        <f t="shared" si="0"/>
        <v>135</v>
      </c>
      <c r="S11" s="37">
        <f t="shared" si="1"/>
        <v>1.3333333333333335E-3</v>
      </c>
      <c r="T11" s="37">
        <f t="shared" si="2"/>
        <v>24</v>
      </c>
      <c r="U11" s="40">
        <f t="shared" si="3"/>
        <v>8.3333333333333332E-3</v>
      </c>
      <c r="V11" s="39">
        <f t="shared" si="4"/>
        <v>1</v>
      </c>
      <c r="W11" s="37">
        <f t="shared" si="5"/>
        <v>0.39211676265566048</v>
      </c>
      <c r="X11" s="40">
        <f t="shared" si="6"/>
        <v>1.056948967446609</v>
      </c>
      <c r="Y11" s="39">
        <f t="shared" si="7"/>
        <v>3.1453216255801643E-2</v>
      </c>
      <c r="Z11" s="37">
        <f t="shared" si="17"/>
        <v>3.1453216255801643E-2</v>
      </c>
      <c r="AA11" s="37">
        <f t="shared" si="18"/>
        <v>2.1859915377263128E-2</v>
      </c>
      <c r="AB11" s="37">
        <v>0</v>
      </c>
      <c r="AC11" s="37">
        <f t="shared" si="8"/>
        <v>5.2564149033121549E-4</v>
      </c>
      <c r="AD11" s="40">
        <f t="shared" si="19"/>
        <v>5.2564149033121549E-4</v>
      </c>
      <c r="AE11" s="39">
        <f t="shared" si="27"/>
        <v>3.2676396887971705E-3</v>
      </c>
      <c r="AF11" s="37">
        <f t="shared" si="20"/>
        <v>1.1371352902333424E-2</v>
      </c>
      <c r="AG11" s="37">
        <f t="shared" si="9"/>
        <v>3.6206146712233906E-5</v>
      </c>
      <c r="AH11" s="37">
        <f t="shared" si="10"/>
        <v>1.3391943503354613E-2</v>
      </c>
      <c r="AI11" s="40">
        <f t="shared" si="21"/>
        <v>1.3428149650066846E-2</v>
      </c>
      <c r="AJ11" s="39">
        <f t="shared" si="22"/>
        <v>8.8079080620550761E-3</v>
      </c>
      <c r="AK11" s="37">
        <f t="shared" si="11"/>
        <v>1.8669446522907376E-2</v>
      </c>
      <c r="AL11" s="37">
        <f t="shared" si="12"/>
        <v>1.0666666666666669E-3</v>
      </c>
      <c r="AM11" s="37">
        <f t="shared" si="13"/>
        <v>0.59752000000000005</v>
      </c>
      <c r="AN11" s="40">
        <f t="shared" si="23"/>
        <v>0.59858666666666671</v>
      </c>
      <c r="AO11" s="39">
        <f t="shared" si="14"/>
        <v>1.5516920019528814E-5</v>
      </c>
      <c r="AP11" s="37">
        <f t="shared" si="15"/>
        <v>4.5441000000000002E-2</v>
      </c>
      <c r="AQ11" s="40">
        <f t="shared" si="16"/>
        <v>1.0800000000000001E-2</v>
      </c>
      <c r="AR11" s="39">
        <f t="shared" si="24"/>
        <v>0.66879697472708433</v>
      </c>
      <c r="AS11" s="37">
        <f t="shared" si="25"/>
        <v>0.18000000000000002</v>
      </c>
      <c r="AT11" s="40">
        <f t="shared" si="26"/>
        <v>21.206484631719597</v>
      </c>
    </row>
    <row r="12" spans="1:46" x14ac:dyDescent="0.25">
      <c r="N12" s="37" t="s">
        <v>326</v>
      </c>
      <c r="O12" s="37">
        <f>IOUT/(O11)</f>
        <v>3.3333333333333338E-4</v>
      </c>
      <c r="Q12">
        <v>5</v>
      </c>
      <c r="R12" s="39">
        <f t="shared" si="0"/>
        <v>135</v>
      </c>
      <c r="S12" s="37">
        <f t="shared" si="1"/>
        <v>1.666666666666667E-3</v>
      </c>
      <c r="T12" s="37">
        <f t="shared" si="2"/>
        <v>24</v>
      </c>
      <c r="U12" s="40">
        <f t="shared" si="3"/>
        <v>1.0416666666666668E-2</v>
      </c>
      <c r="V12" s="39">
        <f t="shared" si="4"/>
        <v>1</v>
      </c>
      <c r="W12" s="37">
        <f t="shared" si="5"/>
        <v>0.43839986820760385</v>
      </c>
      <c r="X12" s="40">
        <f t="shared" si="6"/>
        <v>1.181704869979415</v>
      </c>
      <c r="Y12" s="39">
        <f t="shared" si="7"/>
        <v>3.516576482948694E-2</v>
      </c>
      <c r="Z12" s="37">
        <f t="shared" si="17"/>
        <v>3.516576482948694E-2</v>
      </c>
      <c r="AA12" s="37">
        <f t="shared" si="18"/>
        <v>2.5842289426957616E-2</v>
      </c>
      <c r="AB12" s="37">
        <v>0</v>
      </c>
      <c r="AC12" s="37">
        <f t="shared" si="8"/>
        <v>7.3460631510931002E-4</v>
      </c>
      <c r="AD12" s="40">
        <f t="shared" si="19"/>
        <v>7.3460631510931002E-4</v>
      </c>
      <c r="AE12" s="39">
        <f t="shared" si="27"/>
        <v>4.5666652938292076E-3</v>
      </c>
      <c r="AF12" s="37">
        <f t="shared" si="20"/>
        <v>1.3442951987994679E-2</v>
      </c>
      <c r="AG12" s="37">
        <f t="shared" si="9"/>
        <v>5.0599628282428431E-5</v>
      </c>
      <c r="AH12" s="37">
        <f t="shared" si="10"/>
        <v>1.6739929379193271E-2</v>
      </c>
      <c r="AI12" s="40">
        <f t="shared" si="21"/>
        <v>1.6790529007475699E-2</v>
      </c>
      <c r="AJ12" s="39">
        <f t="shared" si="22"/>
        <v>1.2309425728952241E-2</v>
      </c>
      <c r="AK12" s="37">
        <f t="shared" si="11"/>
        <v>2.2070590492216453E-2</v>
      </c>
      <c r="AL12" s="37">
        <f t="shared" si="12"/>
        <v>1.3333333333333337E-3</v>
      </c>
      <c r="AM12" s="37">
        <f t="shared" si="13"/>
        <v>0.59752000000000005</v>
      </c>
      <c r="AN12" s="40">
        <f t="shared" si="23"/>
        <v>0.59885333333333335</v>
      </c>
      <c r="AO12" s="39">
        <f t="shared" si="14"/>
        <v>2.1685554978183611E-5</v>
      </c>
      <c r="AP12" s="37">
        <f t="shared" si="15"/>
        <v>4.5441000000000002E-2</v>
      </c>
      <c r="AQ12" s="40">
        <f t="shared" si="16"/>
        <v>1.0800000000000001E-2</v>
      </c>
      <c r="AR12" s="39">
        <f t="shared" si="24"/>
        <v>0.67264115421089654</v>
      </c>
      <c r="AS12" s="37">
        <f t="shared" si="25"/>
        <v>0.22500000000000003</v>
      </c>
      <c r="AT12" s="40">
        <f t="shared" si="26"/>
        <v>25.065695678558132</v>
      </c>
    </row>
    <row r="13" spans="1:46" x14ac:dyDescent="0.25">
      <c r="Q13">
        <v>6</v>
      </c>
      <c r="R13" s="39">
        <f t="shared" si="0"/>
        <v>135</v>
      </c>
      <c r="S13" s="37">
        <f t="shared" si="1"/>
        <v>2E-3</v>
      </c>
      <c r="T13" s="37">
        <f t="shared" si="2"/>
        <v>24</v>
      </c>
      <c r="U13" s="40">
        <f t="shared" si="3"/>
        <v>1.2500000000000001E-2</v>
      </c>
      <c r="V13" s="39">
        <f t="shared" si="4"/>
        <v>1</v>
      </c>
      <c r="W13" s="37">
        <f t="shared" si="5"/>
        <v>0.48024299404919313</v>
      </c>
      <c r="X13" s="40">
        <f t="shared" si="6"/>
        <v>1.29449282720287</v>
      </c>
      <c r="Y13" s="39">
        <f t="shared" si="7"/>
        <v>3.8522165298063619E-2</v>
      </c>
      <c r="Z13" s="37">
        <f t="shared" si="17"/>
        <v>3.8522165298063619E-2</v>
      </c>
      <c r="AA13" s="37">
        <f t="shared" si="18"/>
        <v>2.9628995000454926E-2</v>
      </c>
      <c r="AB13" s="37">
        <v>0</v>
      </c>
      <c r="AC13" s="37">
        <f t="shared" si="8"/>
        <v>9.6566507921068141E-4</v>
      </c>
      <c r="AD13" s="40">
        <f t="shared" si="19"/>
        <v>9.6566507921068141E-4</v>
      </c>
      <c r="AE13" s="39">
        <f t="shared" si="27"/>
        <v>6.0030374256149141E-3</v>
      </c>
      <c r="AF13" s="37">
        <f t="shared" si="20"/>
        <v>1.5412765899454658E-2</v>
      </c>
      <c r="AG13" s="37">
        <f t="shared" si="9"/>
        <v>6.6514938747989872E-5</v>
      </c>
      <c r="AH13" s="37">
        <f t="shared" si="10"/>
        <v>2.0087915255031921E-2</v>
      </c>
      <c r="AI13" s="40">
        <f t="shared" si="21"/>
        <v>2.015443019377991E-2</v>
      </c>
      <c r="AJ13" s="39">
        <f t="shared" si="22"/>
        <v>1.6181160340035874E-2</v>
      </c>
      <c r="AK13" s="37">
        <f t="shared" si="11"/>
        <v>2.5304623926578926E-2</v>
      </c>
      <c r="AL13" s="37">
        <f t="shared" si="12"/>
        <v>1.6000000000000001E-3</v>
      </c>
      <c r="AM13" s="37">
        <f t="shared" si="13"/>
        <v>0.59752000000000005</v>
      </c>
      <c r="AN13" s="40">
        <f t="shared" si="23"/>
        <v>0.5991200000000001</v>
      </c>
      <c r="AO13" s="39">
        <f t="shared" si="14"/>
        <v>2.850640232056708E-5</v>
      </c>
      <c r="AP13" s="37">
        <f t="shared" si="15"/>
        <v>4.5441000000000002E-2</v>
      </c>
      <c r="AQ13" s="40">
        <f t="shared" si="16"/>
        <v>1.0800000000000001E-2</v>
      </c>
      <c r="AR13" s="39">
        <f t="shared" si="24"/>
        <v>0.67650960167531127</v>
      </c>
      <c r="AS13" s="37">
        <f t="shared" si="25"/>
        <v>0.27</v>
      </c>
      <c r="AT13" s="40">
        <f t="shared" si="26"/>
        <v>28.525859592137582</v>
      </c>
    </row>
    <row r="14" spans="1:46" x14ac:dyDescent="0.25">
      <c r="Q14">
        <v>7</v>
      </c>
      <c r="R14" s="39">
        <f t="shared" si="0"/>
        <v>135</v>
      </c>
      <c r="S14" s="37">
        <f t="shared" si="1"/>
        <v>2.3333333333333335E-3</v>
      </c>
      <c r="T14" s="37">
        <f t="shared" si="2"/>
        <v>24</v>
      </c>
      <c r="U14" s="40">
        <f t="shared" si="3"/>
        <v>1.4583333333333332E-2</v>
      </c>
      <c r="V14" s="39">
        <f t="shared" si="4"/>
        <v>1</v>
      </c>
      <c r="W14" s="37">
        <f t="shared" si="5"/>
        <v>0.51872171944330825</v>
      </c>
      <c r="X14" s="40">
        <f t="shared" si="6"/>
        <v>1.3982120581751156</v>
      </c>
      <c r="Y14" s="39">
        <f t="shared" si="7"/>
        <v>4.1608694072992641E-2</v>
      </c>
      <c r="Z14" s="37">
        <f t="shared" si="17"/>
        <v>4.1608694072992641E-2</v>
      </c>
      <c r="AA14" s="37">
        <f t="shared" si="18"/>
        <v>3.3260365157066436E-2</v>
      </c>
      <c r="AB14" s="37">
        <v>0</v>
      </c>
      <c r="AC14" s="37">
        <f t="shared" si="8"/>
        <v>1.216877079419539E-3</v>
      </c>
      <c r="AD14" s="40">
        <f t="shared" si="19"/>
        <v>1.216877079419539E-3</v>
      </c>
      <c r="AE14" s="39">
        <f t="shared" si="27"/>
        <v>7.564691741881578E-3</v>
      </c>
      <c r="AF14" s="37">
        <f t="shared" si="20"/>
        <v>1.730177557113808E-2</v>
      </c>
      <c r="AG14" s="37">
        <f t="shared" si="9"/>
        <v>8.3818402615928514E-5</v>
      </c>
      <c r="AH14" s="37">
        <f t="shared" si="10"/>
        <v>2.343590113087057E-2</v>
      </c>
      <c r="AI14" s="40">
        <f t="shared" si="21"/>
        <v>2.3519719533486499E-2</v>
      </c>
      <c r="AJ14" s="39">
        <f t="shared" si="22"/>
        <v>2.0390592515053766E-2</v>
      </c>
      <c r="AK14" s="37">
        <f t="shared" si="11"/>
        <v>2.8405993249090381E-2</v>
      </c>
      <c r="AL14" s="37">
        <f t="shared" si="12"/>
        <v>1.8666666666666669E-3</v>
      </c>
      <c r="AM14" s="37">
        <f t="shared" si="13"/>
        <v>0.59752000000000005</v>
      </c>
      <c r="AN14" s="40">
        <f t="shared" si="23"/>
        <v>0.59938666666666673</v>
      </c>
      <c r="AO14" s="39">
        <f t="shared" si="14"/>
        <v>3.5922172549683647E-5</v>
      </c>
      <c r="AP14" s="37">
        <f t="shared" si="15"/>
        <v>4.5441000000000002E-2</v>
      </c>
      <c r="AQ14" s="40">
        <f t="shared" si="16"/>
        <v>1.0800000000000001E-2</v>
      </c>
      <c r="AR14" s="39">
        <f t="shared" si="24"/>
        <v>0.68040018545212244</v>
      </c>
      <c r="AS14" s="37">
        <f t="shared" si="25"/>
        <v>0.315</v>
      </c>
      <c r="AT14" s="40">
        <f t="shared" si="26"/>
        <v>31.645563724395259</v>
      </c>
    </row>
    <row r="15" spans="1:46" x14ac:dyDescent="0.25">
      <c r="O15">
        <f>0.205*2.5/(Lm*Fsw)</f>
        <v>1.7129010695187165E-3</v>
      </c>
      <c r="Q15">
        <v>8</v>
      </c>
      <c r="R15" s="39">
        <f t="shared" si="0"/>
        <v>135</v>
      </c>
      <c r="S15" s="37">
        <f t="shared" si="1"/>
        <v>2.666666666666667E-3</v>
      </c>
      <c r="T15" s="37">
        <f t="shared" si="2"/>
        <v>24</v>
      </c>
      <c r="U15" s="40">
        <f t="shared" si="3"/>
        <v>1.6666666666666666E-2</v>
      </c>
      <c r="V15" s="39">
        <f t="shared" si="4"/>
        <v>1</v>
      </c>
      <c r="W15" s="37">
        <f t="shared" si="5"/>
        <v>0.55453684378146695</v>
      </c>
      <c r="X15" s="40">
        <f t="shared" si="6"/>
        <v>1.4947515644992331</v>
      </c>
      <c r="Y15" s="39">
        <f t="shared" si="7"/>
        <v>4.4481565009208579E-2</v>
      </c>
      <c r="Z15" s="37">
        <f t="shared" si="17"/>
        <v>4.4481565009208579E-2</v>
      </c>
      <c r="AA15" s="37">
        <f t="shared" si="18"/>
        <v>3.6763848956980219E-2</v>
      </c>
      <c r="AB15" s="37">
        <v>0</v>
      </c>
      <c r="AC15" s="37">
        <f t="shared" si="8"/>
        <v>1.4867386491448213E-3</v>
      </c>
      <c r="AD15" s="40">
        <f t="shared" si="19"/>
        <v>1.4867386491448213E-3</v>
      </c>
      <c r="AE15" s="39">
        <f t="shared" si="27"/>
        <v>9.2422807296911151E-3</v>
      </c>
      <c r="AF15" s="37">
        <f t="shared" si="20"/>
        <v>1.9124259784314195E-2</v>
      </c>
      <c r="AG15" s="37">
        <f t="shared" si="9"/>
        <v>1.0240644744342244E-4</v>
      </c>
      <c r="AH15" s="37">
        <f t="shared" si="10"/>
        <v>2.6783887006709226E-2</v>
      </c>
      <c r="AI15" s="40">
        <f t="shared" si="21"/>
        <v>2.6886293454152648E-2</v>
      </c>
      <c r="AJ15" s="39">
        <f t="shared" si="22"/>
        <v>2.4912526074987219E-2</v>
      </c>
      <c r="AK15" s="37">
        <f t="shared" si="11"/>
        <v>3.1398141311767463E-2</v>
      </c>
      <c r="AL15" s="37">
        <f t="shared" si="12"/>
        <v>2.1333333333333339E-3</v>
      </c>
      <c r="AM15" s="37">
        <f t="shared" si="13"/>
        <v>0.59752000000000005</v>
      </c>
      <c r="AN15" s="40">
        <f t="shared" si="23"/>
        <v>0.59965333333333337</v>
      </c>
      <c r="AO15" s="39">
        <f t="shared" si="14"/>
        <v>4.3888477475752462E-5</v>
      </c>
      <c r="AP15" s="37">
        <f t="shared" si="15"/>
        <v>4.5441000000000002E-2</v>
      </c>
      <c r="AQ15" s="40">
        <f t="shared" si="16"/>
        <v>1.0800000000000001E-2</v>
      </c>
      <c r="AR15" s="39">
        <f t="shared" si="24"/>
        <v>0.68431125391410652</v>
      </c>
      <c r="AS15" s="37">
        <f t="shared" si="25"/>
        <v>0.36000000000000004</v>
      </c>
      <c r="AT15" s="40">
        <f t="shared" si="26"/>
        <v>34.47248113536174</v>
      </c>
    </row>
    <row r="16" spans="1:46" x14ac:dyDescent="0.25">
      <c r="Q16">
        <v>9</v>
      </c>
      <c r="R16" s="39">
        <f t="shared" si="0"/>
        <v>135</v>
      </c>
      <c r="S16" s="37">
        <f t="shared" si="1"/>
        <v>3.0000000000000005E-3</v>
      </c>
      <c r="T16" s="37">
        <f t="shared" si="2"/>
        <v>24</v>
      </c>
      <c r="U16" s="40">
        <f t="shared" si="3"/>
        <v>1.8750000000000003E-2</v>
      </c>
      <c r="V16" s="39">
        <f t="shared" si="4"/>
        <v>1</v>
      </c>
      <c r="W16" s="37">
        <f t="shared" si="5"/>
        <v>0.58817514398349069</v>
      </c>
      <c r="X16" s="40">
        <f t="shared" si="6"/>
        <v>1.5854234511699135</v>
      </c>
      <c r="Y16" s="39">
        <f t="shared" si="7"/>
        <v>4.7179824383702468E-2</v>
      </c>
      <c r="Z16" s="37">
        <f t="shared" ref="Z16:Z79" si="28">CHOOSE(V16,Y16,U16+(0.5*Y16))</f>
        <v>4.7179824383702468E-2</v>
      </c>
      <c r="AA16" s="37">
        <f t="shared" ref="AA16:AA79" si="29">CHOOSE(V16,Z16*SQRT((W16+X16)/3),SQRT((U16^2)+((Y16^2)/12)))</f>
        <v>4.0159228871035721E-2</v>
      </c>
      <c r="AB16" s="37">
        <v>0</v>
      </c>
      <c r="AC16" s="37">
        <f t="shared" si="8"/>
        <v>1.7740400298678521E-3</v>
      </c>
      <c r="AD16" s="40">
        <f t="shared" si="19"/>
        <v>1.7740400298678521E-3</v>
      </c>
      <c r="AE16" s="39">
        <f t="shared" si="27"/>
        <v>1.1028283949690453E-2</v>
      </c>
      <c r="AF16" s="37">
        <f t="shared" si="20"/>
        <v>2.0890509221875082E-2</v>
      </c>
      <c r="AG16" s="37">
        <f t="shared" si="9"/>
        <v>1.2219574515378941E-4</v>
      </c>
      <c r="AH16" s="37">
        <f t="shared" si="10"/>
        <v>3.0131872882547886E-2</v>
      </c>
      <c r="AI16" s="40">
        <f t="shared" si="21"/>
        <v>3.0254068627701674E-2</v>
      </c>
      <c r="AJ16" s="39">
        <f t="shared" si="22"/>
        <v>2.9726689709435882E-2</v>
      </c>
      <c r="AK16" s="37">
        <f t="shared" si="11"/>
        <v>3.4297963320975511E-2</v>
      </c>
      <c r="AL16" s="37">
        <f t="shared" si="12"/>
        <v>2.4000000000000007E-3</v>
      </c>
      <c r="AM16" s="37">
        <f t="shared" si="13"/>
        <v>0.59752000000000005</v>
      </c>
      <c r="AN16" s="40">
        <f t="shared" si="23"/>
        <v>0.59992000000000001</v>
      </c>
      <c r="AO16" s="39">
        <f t="shared" si="14"/>
        <v>5.2369605065909742E-5</v>
      </c>
      <c r="AP16" s="37">
        <f t="shared" si="15"/>
        <v>4.5441000000000002E-2</v>
      </c>
      <c r="AQ16" s="40">
        <f t="shared" si="16"/>
        <v>1.0800000000000001E-2</v>
      </c>
      <c r="AR16" s="39">
        <f t="shared" si="24"/>
        <v>0.68824147826263538</v>
      </c>
      <c r="AS16" s="37">
        <f t="shared" si="25"/>
        <v>0.40500000000000008</v>
      </c>
      <c r="AT16" s="40">
        <f t="shared" si="26"/>
        <v>37.045795284278874</v>
      </c>
    </row>
    <row r="17" spans="17:46" x14ac:dyDescent="0.25">
      <c r="Q17">
        <v>10</v>
      </c>
      <c r="R17" s="39">
        <f t="shared" si="0"/>
        <v>135</v>
      </c>
      <c r="S17" s="37">
        <f t="shared" si="1"/>
        <v>3.333333333333334E-3</v>
      </c>
      <c r="T17" s="37">
        <f t="shared" si="2"/>
        <v>24</v>
      </c>
      <c r="U17" s="40">
        <f t="shared" si="3"/>
        <v>2.0833333333333336E-2</v>
      </c>
      <c r="V17" s="39">
        <f t="shared" si="4"/>
        <v>1</v>
      </c>
      <c r="W17" s="37">
        <f t="shared" si="5"/>
        <v>0.6199910393617708</v>
      </c>
      <c r="X17" s="40">
        <f t="shared" si="6"/>
        <v>1.6711830538472237</v>
      </c>
      <c r="Y17" s="39">
        <f t="shared" si="7"/>
        <v>4.973190155308322E-2</v>
      </c>
      <c r="Z17" s="37">
        <f t="shared" si="28"/>
        <v>4.973190155308322E-2</v>
      </c>
      <c r="AA17" s="37">
        <f t="shared" si="29"/>
        <v>4.3461377082155257E-2</v>
      </c>
      <c r="AB17" s="37">
        <v>0</v>
      </c>
      <c r="AC17" s="37">
        <f t="shared" si="8"/>
        <v>2.0777804276650193E-3</v>
      </c>
      <c r="AD17" s="40">
        <f t="shared" si="19"/>
        <v>2.0777804276650193E-3</v>
      </c>
      <c r="AE17" s="39">
        <f t="shared" si="27"/>
        <v>1.2916479986703559E-2</v>
      </c>
      <c r="AF17" s="37">
        <f t="shared" si="20"/>
        <v>2.2608260274265039E-2</v>
      </c>
      <c r="AG17" s="37">
        <f t="shared" si="9"/>
        <v>1.4311736113609502E-4</v>
      </c>
      <c r="AH17" s="37">
        <f t="shared" si="10"/>
        <v>3.3479858758386542E-2</v>
      </c>
      <c r="AI17" s="40">
        <f t="shared" si="21"/>
        <v>3.3622976119522641E-2</v>
      </c>
      <c r="AJ17" s="39">
        <f t="shared" si="22"/>
        <v>3.4816313621817162E-2</v>
      </c>
      <c r="AK17" s="37">
        <f t="shared" si="11"/>
        <v>3.7118160854875064E-2</v>
      </c>
      <c r="AL17" s="37">
        <f t="shared" si="12"/>
        <v>2.6666666666666674E-3</v>
      </c>
      <c r="AM17" s="37">
        <f t="shared" si="13"/>
        <v>0.59752000000000005</v>
      </c>
      <c r="AN17" s="40">
        <f t="shared" si="23"/>
        <v>0.60018666666666676</v>
      </c>
      <c r="AO17" s="39">
        <f t="shared" si="14"/>
        <v>6.1336011915469286E-5</v>
      </c>
      <c r="AP17" s="37">
        <f t="shared" si="15"/>
        <v>4.5441000000000002E-2</v>
      </c>
      <c r="AQ17" s="40">
        <f t="shared" si="16"/>
        <v>1.0800000000000001E-2</v>
      </c>
      <c r="AR17" s="39">
        <f t="shared" si="24"/>
        <v>0.69218975922576997</v>
      </c>
      <c r="AS17" s="37">
        <f t="shared" si="25"/>
        <v>0.45000000000000007</v>
      </c>
      <c r="AT17" s="40">
        <f t="shared" si="26"/>
        <v>39.398006886791848</v>
      </c>
    </row>
    <row r="18" spans="17:46" x14ac:dyDescent="0.25">
      <c r="Q18">
        <v>11</v>
      </c>
      <c r="R18" s="39">
        <f t="shared" si="0"/>
        <v>135</v>
      </c>
      <c r="S18" s="37">
        <f t="shared" si="1"/>
        <v>3.666666666666667E-3</v>
      </c>
      <c r="T18" s="37">
        <f t="shared" si="2"/>
        <v>24</v>
      </c>
      <c r="U18" s="40">
        <f t="shared" si="3"/>
        <v>2.2916666666666669E-2</v>
      </c>
      <c r="V18" s="39">
        <f t="shared" si="4"/>
        <v>1</v>
      </c>
      <c r="W18" s="37">
        <f t="shared" si="5"/>
        <v>0.65025208786883404</v>
      </c>
      <c r="X18" s="40">
        <f t="shared" si="6"/>
        <v>1.7527515737869832</v>
      </c>
      <c r="Y18" s="39">
        <f t="shared" si="7"/>
        <v>5.2159258385200594E-2</v>
      </c>
      <c r="Z18" s="37">
        <f t="shared" si="28"/>
        <v>5.2159258385200594E-2</v>
      </c>
      <c r="AA18" s="37">
        <f t="shared" si="29"/>
        <v>4.6681843334318268E-2</v>
      </c>
      <c r="AB18" s="37">
        <v>0</v>
      </c>
      <c r="AC18" s="37">
        <f t="shared" si="8"/>
        <v>2.3971139467988184E-3</v>
      </c>
      <c r="AD18" s="40">
        <f t="shared" si="19"/>
        <v>2.3971139467988184E-3</v>
      </c>
      <c r="AE18" s="39">
        <f t="shared" si="27"/>
        <v>1.4901610346994115E-2</v>
      </c>
      <c r="AF18" s="37">
        <f t="shared" si="20"/>
        <v>2.428352102579983E-2</v>
      </c>
      <c r="AG18" s="37">
        <f t="shared" si="9"/>
        <v>1.6511303015492949E-4</v>
      </c>
      <c r="AH18" s="37">
        <f t="shared" si="10"/>
        <v>3.6827844634225192E-2</v>
      </c>
      <c r="AI18" s="40">
        <f t="shared" si="21"/>
        <v>3.699295766438012E-2</v>
      </c>
      <c r="AJ18" s="39">
        <f t="shared" si="22"/>
        <v>4.0167223565951704E-2</v>
      </c>
      <c r="AK18" s="37">
        <f t="shared" si="11"/>
        <v>3.986859796480649E-2</v>
      </c>
      <c r="AL18" s="37">
        <f t="shared" si="12"/>
        <v>2.9333333333333338E-3</v>
      </c>
      <c r="AM18" s="37">
        <f t="shared" si="13"/>
        <v>0.59752000000000005</v>
      </c>
      <c r="AN18" s="40">
        <f t="shared" si="23"/>
        <v>0.60045333333333339</v>
      </c>
      <c r="AO18" s="39">
        <f t="shared" si="14"/>
        <v>7.0762727209255485E-5</v>
      </c>
      <c r="AP18" s="37">
        <f t="shared" si="15"/>
        <v>4.5441000000000002E-2</v>
      </c>
      <c r="AQ18" s="40">
        <f t="shared" si="16"/>
        <v>1.0800000000000001E-2</v>
      </c>
      <c r="AR18" s="39">
        <f t="shared" si="24"/>
        <v>0.6961551676717217</v>
      </c>
      <c r="AS18" s="37">
        <f t="shared" si="25"/>
        <v>0.49500000000000005</v>
      </c>
      <c r="AT18" s="40">
        <f t="shared" si="26"/>
        <v>41.556298745489748</v>
      </c>
    </row>
    <row r="19" spans="17:46" x14ac:dyDescent="0.25">
      <c r="Q19">
        <v>12</v>
      </c>
      <c r="R19" s="39">
        <f t="shared" si="0"/>
        <v>135</v>
      </c>
      <c r="S19" s="37">
        <f t="shared" si="1"/>
        <v>4.0000000000000001E-3</v>
      </c>
      <c r="T19" s="37">
        <f t="shared" si="2"/>
        <v>24</v>
      </c>
      <c r="U19" s="40">
        <f t="shared" si="3"/>
        <v>2.5000000000000001E-2</v>
      </c>
      <c r="V19" s="39">
        <f t="shared" si="4"/>
        <v>1</v>
      </c>
      <c r="W19" s="37">
        <f t="shared" si="5"/>
        <v>0.67916615541903047</v>
      </c>
      <c r="X19" s="40">
        <f t="shared" si="6"/>
        <v>1.8306893126249901</v>
      </c>
      <c r="Y19" s="39">
        <f t="shared" si="7"/>
        <v>5.4478568616499773E-2</v>
      </c>
      <c r="Z19" s="37">
        <f t="shared" si="28"/>
        <v>5.4478568616499773E-2</v>
      </c>
      <c r="AA19" s="37">
        <f t="shared" si="29"/>
        <v>4.982983136690556E-2</v>
      </c>
      <c r="AB19" s="37">
        <v>0</v>
      </c>
      <c r="AC19" s="37">
        <f t="shared" si="8"/>
        <v>2.7313133034596697E-3</v>
      </c>
      <c r="AD19" s="40">
        <f t="shared" si="19"/>
        <v>2.7313133034596697E-3</v>
      </c>
      <c r="AE19" s="39">
        <f t="shared" si="27"/>
        <v>1.6979153885475762E-2</v>
      </c>
      <c r="AF19" s="37">
        <f t="shared" si="20"/>
        <v>2.5921079187992229E-2</v>
      </c>
      <c r="AG19" s="37">
        <f t="shared" si="9"/>
        <v>1.881326569556459E-4</v>
      </c>
      <c r="AH19" s="37">
        <f t="shared" si="10"/>
        <v>4.0175830510063841E-2</v>
      </c>
      <c r="AI19" s="40">
        <f t="shared" si="21"/>
        <v>4.0363963167019484E-2</v>
      </c>
      <c r="AJ19" s="39">
        <f t="shared" si="22"/>
        <v>4.5767232815624753E-2</v>
      </c>
      <c r="AK19" s="37">
        <f t="shared" si="11"/>
        <v>4.2557135098407195E-2</v>
      </c>
      <c r="AL19" s="37">
        <f t="shared" si="12"/>
        <v>3.2000000000000002E-3</v>
      </c>
      <c r="AM19" s="37">
        <f t="shared" si="13"/>
        <v>0.59752000000000005</v>
      </c>
      <c r="AN19" s="40">
        <f t="shared" si="23"/>
        <v>0.60072000000000003</v>
      </c>
      <c r="AO19" s="39">
        <f t="shared" si="14"/>
        <v>8.0628281552419658E-5</v>
      </c>
      <c r="AP19" s="37">
        <f t="shared" si="15"/>
        <v>4.5441000000000002E-2</v>
      </c>
      <c r="AQ19" s="40">
        <f t="shared" si="16"/>
        <v>1.0800000000000001E-2</v>
      </c>
      <c r="AR19" s="39">
        <f t="shared" si="24"/>
        <v>0.70013690475203161</v>
      </c>
      <c r="AS19" s="37">
        <f t="shared" si="25"/>
        <v>0.54</v>
      </c>
      <c r="AT19" s="40">
        <f t="shared" si="26"/>
        <v>43.543579578254253</v>
      </c>
    </row>
    <row r="20" spans="17:46" x14ac:dyDescent="0.25">
      <c r="Q20">
        <v>13</v>
      </c>
      <c r="R20" s="39">
        <f t="shared" si="0"/>
        <v>135</v>
      </c>
      <c r="S20" s="37">
        <f t="shared" si="1"/>
        <v>4.333333333333334E-3</v>
      </c>
      <c r="T20" s="37">
        <f t="shared" si="2"/>
        <v>24</v>
      </c>
      <c r="U20" s="40">
        <f t="shared" si="3"/>
        <v>2.7083333333333334E-2</v>
      </c>
      <c r="V20" s="39">
        <f t="shared" si="4"/>
        <v>1</v>
      </c>
      <c r="W20" s="37">
        <f t="shared" si="5"/>
        <v>0.70689854686196352</v>
      </c>
      <c r="X20" s="40">
        <f t="shared" si="6"/>
        <v>1.9054418488387339</v>
      </c>
      <c r="Y20" s="39">
        <f t="shared" si="7"/>
        <v>5.6703091994275152E-2</v>
      </c>
      <c r="Z20" s="37">
        <f t="shared" si="28"/>
        <v>5.6703091994275152E-2</v>
      </c>
      <c r="AA20" s="37">
        <f t="shared" si="29"/>
        <v>5.2912830864359293E-2</v>
      </c>
      <c r="AB20" s="37">
        <v>0</v>
      </c>
      <c r="AC20" s="37">
        <f t="shared" si="8"/>
        <v>3.0797444370883231E-3</v>
      </c>
      <c r="AD20" s="40">
        <f t="shared" si="19"/>
        <v>3.0797444370883231E-3</v>
      </c>
      <c r="AE20" s="39">
        <f t="shared" si="27"/>
        <v>1.9145168977511513E-2</v>
      </c>
      <c r="AF20" s="37">
        <f t="shared" si="20"/>
        <v>2.7524830834703879E-2</v>
      </c>
      <c r="AG20" s="37">
        <f t="shared" si="9"/>
        <v>2.1213256749413835E-4</v>
      </c>
      <c r="AH20" s="37">
        <f t="shared" si="10"/>
        <v>4.3523816385902497E-2</v>
      </c>
      <c r="AI20" s="40">
        <f t="shared" si="21"/>
        <v>4.3735948953396636E-2</v>
      </c>
      <c r="AJ20" s="39">
        <f t="shared" si="22"/>
        <v>5.1605716739382378E-2</v>
      </c>
      <c r="AK20" s="37">
        <f t="shared" si="11"/>
        <v>4.5190168815808028E-2</v>
      </c>
      <c r="AL20" s="37">
        <f t="shared" si="12"/>
        <v>3.4666666666666674E-3</v>
      </c>
      <c r="AM20" s="37">
        <f t="shared" si="13"/>
        <v>0.59752000000000005</v>
      </c>
      <c r="AN20" s="40">
        <f t="shared" si="23"/>
        <v>0.60098666666666667</v>
      </c>
      <c r="AO20" s="39">
        <f t="shared" si="14"/>
        <v>9.0913957497487847E-5</v>
      </c>
      <c r="AP20" s="37">
        <f t="shared" si="15"/>
        <v>4.5441000000000002E-2</v>
      </c>
      <c r="AQ20" s="40">
        <f t="shared" si="16"/>
        <v>1.0800000000000001E-2</v>
      </c>
      <c r="AR20" s="39">
        <f t="shared" si="24"/>
        <v>0.70413427401464912</v>
      </c>
      <c r="AS20" s="37">
        <f t="shared" si="25"/>
        <v>0.58500000000000008</v>
      </c>
      <c r="AT20" s="40">
        <f t="shared" si="26"/>
        <v>45.379291497555236</v>
      </c>
    </row>
    <row r="21" spans="17:46" x14ac:dyDescent="0.25">
      <c r="Q21">
        <v>14</v>
      </c>
      <c r="R21" s="39">
        <f t="shared" si="0"/>
        <v>135</v>
      </c>
      <c r="S21" s="37">
        <f t="shared" si="1"/>
        <v>4.6666666666666671E-3</v>
      </c>
      <c r="T21" s="37">
        <f t="shared" si="2"/>
        <v>24</v>
      </c>
      <c r="U21" s="40">
        <f t="shared" si="3"/>
        <v>2.9166666666666664E-2</v>
      </c>
      <c r="V21" s="39">
        <f t="shared" si="4"/>
        <v>1</v>
      </c>
      <c r="W21" s="37">
        <f t="shared" si="5"/>
        <v>0.73358329073421802</v>
      </c>
      <c r="X21" s="40">
        <f t="shared" si="6"/>
        <v>1.9773704557448468</v>
      </c>
      <c r="Y21" s="39">
        <f t="shared" si="7"/>
        <v>5.8843579470659206E-2</v>
      </c>
      <c r="Z21" s="37">
        <f t="shared" si="28"/>
        <v>5.8843579470659206E-2</v>
      </c>
      <c r="AA21" s="37">
        <f t="shared" si="29"/>
        <v>5.5937043661213416E-2</v>
      </c>
      <c r="AB21" s="37">
        <v>0</v>
      </c>
      <c r="AC21" s="37">
        <f t="shared" si="8"/>
        <v>3.4418481389121456E-3</v>
      </c>
      <c r="AD21" s="40">
        <f t="shared" si="19"/>
        <v>3.4418481389121456E-3</v>
      </c>
      <c r="AE21" s="39">
        <f t="shared" si="27"/>
        <v>2.1396179313081357E-2</v>
      </c>
      <c r="AF21" s="37">
        <f t="shared" si="20"/>
        <v>2.9098002110588595E-2</v>
      </c>
      <c r="AG21" s="37">
        <f t="shared" si="9"/>
        <v>2.3707424351178917E-4</v>
      </c>
      <c r="AH21" s="37">
        <f t="shared" si="10"/>
        <v>4.687180226174114E-2</v>
      </c>
      <c r="AI21" s="40">
        <f t="shared" si="21"/>
        <v>4.7108876505252931E-2</v>
      </c>
      <c r="AJ21" s="39">
        <f t="shared" si="22"/>
        <v>5.7673304959224694E-2</v>
      </c>
      <c r="AK21" s="37">
        <f t="shared" si="11"/>
        <v>4.7772995789762629E-2</v>
      </c>
      <c r="AL21" s="37">
        <f t="shared" si="12"/>
        <v>3.7333333333333337E-3</v>
      </c>
      <c r="AM21" s="37">
        <f t="shared" si="13"/>
        <v>0.59752000000000005</v>
      </c>
      <c r="AN21" s="40">
        <f t="shared" si="23"/>
        <v>0.60125333333333342</v>
      </c>
      <c r="AO21" s="39">
        <f t="shared" si="14"/>
        <v>1.0160324721933819E-4</v>
      </c>
      <c r="AP21" s="37">
        <f t="shared" si="15"/>
        <v>4.5441000000000002E-2</v>
      </c>
      <c r="AQ21" s="40">
        <f t="shared" si="16"/>
        <v>1.0800000000000001E-2</v>
      </c>
      <c r="AR21" s="39">
        <f t="shared" si="24"/>
        <v>0.70814666122471781</v>
      </c>
      <c r="AS21" s="37">
        <f t="shared" si="25"/>
        <v>0.63</v>
      </c>
      <c r="AT21" s="40">
        <f t="shared" si="26"/>
        <v>47.080041243267189</v>
      </c>
    </row>
    <row r="22" spans="17:46" x14ac:dyDescent="0.25">
      <c r="Q22">
        <v>15</v>
      </c>
      <c r="R22" s="39">
        <f t="shared" si="0"/>
        <v>135</v>
      </c>
      <c r="S22" s="37">
        <f t="shared" si="1"/>
        <v>5.000000000000001E-3</v>
      </c>
      <c r="T22" s="37">
        <f t="shared" si="2"/>
        <v>24</v>
      </c>
      <c r="U22" s="40">
        <f t="shared" si="3"/>
        <v>3.1250000000000007E-2</v>
      </c>
      <c r="V22" s="39">
        <f t="shared" si="4"/>
        <v>1</v>
      </c>
      <c r="W22" s="37">
        <f t="shared" si="5"/>
        <v>0.75933084576706966</v>
      </c>
      <c r="X22" s="40">
        <f t="shared" si="6"/>
        <v>2.0467728743559208</v>
      </c>
      <c r="Y22" s="39">
        <f t="shared" si="7"/>
        <v>6.0908891371690088E-2</v>
      </c>
      <c r="Z22" s="37">
        <f t="shared" si="28"/>
        <v>6.0908891371690088E-2</v>
      </c>
      <c r="AA22" s="37">
        <f t="shared" si="29"/>
        <v>5.8907681116617733E-2</v>
      </c>
      <c r="AB22" s="37">
        <v>0</v>
      </c>
      <c r="AC22" s="37">
        <f t="shared" si="8"/>
        <v>3.8171263839908336E-3</v>
      </c>
      <c r="AD22" s="40">
        <f t="shared" si="19"/>
        <v>3.8171263839908336E-3</v>
      </c>
      <c r="AE22" s="39">
        <f t="shared" si="27"/>
        <v>2.3729088930220934E-2</v>
      </c>
      <c r="AF22" s="37">
        <f t="shared" si="20"/>
        <v>3.0643303922938132E-2</v>
      </c>
      <c r="AG22" s="37">
        <f t="shared" si="9"/>
        <v>2.6292338108779557E-4</v>
      </c>
      <c r="AH22" s="37">
        <f t="shared" si="10"/>
        <v>5.0219788137579817E-2</v>
      </c>
      <c r="AI22" s="40">
        <f t="shared" si="21"/>
        <v>5.0482711518667615E-2</v>
      </c>
      <c r="AJ22" s="39">
        <f t="shared" si="22"/>
        <v>6.3961652323622539E-2</v>
      </c>
      <c r="AK22" s="37">
        <f t="shared" si="11"/>
        <v>5.0310066778166435E-2</v>
      </c>
      <c r="AL22" s="37">
        <f t="shared" si="12"/>
        <v>4.000000000000001E-3</v>
      </c>
      <c r="AM22" s="37">
        <f t="shared" si="13"/>
        <v>0.59752000000000005</v>
      </c>
      <c r="AN22" s="40">
        <f t="shared" si="23"/>
        <v>0.60152000000000005</v>
      </c>
      <c r="AO22" s="39">
        <f t="shared" si="14"/>
        <v>1.1268144903762666E-4</v>
      </c>
      <c r="AP22" s="37">
        <f t="shared" si="15"/>
        <v>4.5441000000000002E-2</v>
      </c>
      <c r="AQ22" s="40">
        <f t="shared" si="16"/>
        <v>1.0800000000000001E-2</v>
      </c>
      <c r="AR22" s="39">
        <f t="shared" si="24"/>
        <v>0.71217351935169604</v>
      </c>
      <c r="AS22" s="37">
        <f t="shared" si="25"/>
        <v>0.67500000000000016</v>
      </c>
      <c r="AT22" s="40">
        <f t="shared" si="26"/>
        <v>48.660098436384907</v>
      </c>
    </row>
    <row r="23" spans="17:46" x14ac:dyDescent="0.25">
      <c r="Q23">
        <v>16</v>
      </c>
      <c r="R23" s="39">
        <f t="shared" si="0"/>
        <v>135</v>
      </c>
      <c r="S23" s="37">
        <f t="shared" si="1"/>
        <v>5.333333333333334E-3</v>
      </c>
      <c r="T23" s="37">
        <f t="shared" si="2"/>
        <v>24</v>
      </c>
      <c r="U23" s="40">
        <f t="shared" si="3"/>
        <v>3.3333333333333333E-2</v>
      </c>
      <c r="V23" s="39">
        <f t="shared" si="4"/>
        <v>1</v>
      </c>
      <c r="W23" s="37">
        <f t="shared" si="5"/>
        <v>0.78423352531132096</v>
      </c>
      <c r="X23" s="40">
        <f t="shared" si="6"/>
        <v>2.1138979348932181</v>
      </c>
      <c r="Y23" s="39">
        <f t="shared" si="7"/>
        <v>6.2906432511603286E-2</v>
      </c>
      <c r="Z23" s="37">
        <f t="shared" si="28"/>
        <v>6.2906432511603286E-2</v>
      </c>
      <c r="AA23" s="37">
        <f t="shared" si="29"/>
        <v>6.1829177597707376E-2</v>
      </c>
      <c r="AB23" s="37">
        <v>0</v>
      </c>
      <c r="AC23" s="37">
        <f t="shared" si="8"/>
        <v>4.205131922649724E-3</v>
      </c>
      <c r="AD23" s="40">
        <f t="shared" si="19"/>
        <v>4.205131922649724E-3</v>
      </c>
      <c r="AE23" s="39">
        <f t="shared" si="27"/>
        <v>2.6141117510377364E-2</v>
      </c>
      <c r="AF23" s="37">
        <f t="shared" si="20"/>
        <v>3.2163042994021167E-2</v>
      </c>
      <c r="AG23" s="37">
        <f t="shared" si="9"/>
        <v>2.896491736978712E-4</v>
      </c>
      <c r="AH23" s="37">
        <f t="shared" si="10"/>
        <v>5.3567774013418452E-2</v>
      </c>
      <c r="AI23" s="40">
        <f t="shared" si="21"/>
        <v>5.3857423187116324E-2</v>
      </c>
      <c r="AJ23" s="39">
        <f t="shared" si="22"/>
        <v>7.0463264496440609E-2</v>
      </c>
      <c r="AK23" s="37">
        <f t="shared" si="11"/>
        <v>5.2805168949389657E-2</v>
      </c>
      <c r="AL23" s="37">
        <f t="shared" si="12"/>
        <v>4.2666666666666677E-3</v>
      </c>
      <c r="AM23" s="37">
        <f t="shared" si="13"/>
        <v>0.59752000000000005</v>
      </c>
      <c r="AN23" s="40">
        <f t="shared" si="23"/>
        <v>0.60178666666666669</v>
      </c>
      <c r="AO23" s="39">
        <f t="shared" si="14"/>
        <v>1.2413536015623049E-4</v>
      </c>
      <c r="AP23" s="37">
        <f t="shared" si="15"/>
        <v>4.5441000000000002E-2</v>
      </c>
      <c r="AQ23" s="40">
        <f t="shared" si="16"/>
        <v>1.0800000000000001E-2</v>
      </c>
      <c r="AR23" s="39">
        <f t="shared" si="24"/>
        <v>0.71621435713658888</v>
      </c>
      <c r="AS23" s="37">
        <f t="shared" si="25"/>
        <v>0.72000000000000008</v>
      </c>
      <c r="AT23" s="40">
        <f t="shared" si="26"/>
        <v>50.131792404267529</v>
      </c>
    </row>
    <row r="24" spans="17:46" x14ac:dyDescent="0.25">
      <c r="Q24">
        <v>17</v>
      </c>
      <c r="R24" s="39">
        <f t="shared" si="0"/>
        <v>135</v>
      </c>
      <c r="S24" s="37">
        <f t="shared" si="1"/>
        <v>5.6666666666666671E-3</v>
      </c>
      <c r="T24" s="37">
        <f t="shared" si="2"/>
        <v>24</v>
      </c>
      <c r="U24" s="40">
        <f t="shared" si="3"/>
        <v>3.5416666666666666E-2</v>
      </c>
      <c r="V24" s="39">
        <f t="shared" si="4"/>
        <v>1</v>
      </c>
      <c r="W24" s="37">
        <f t="shared" si="5"/>
        <v>0.80836941500226922</v>
      </c>
      <c r="X24" s="40">
        <f t="shared" si="6"/>
        <v>2.1789561168349452</v>
      </c>
      <c r="Y24" s="39">
        <f t="shared" si="7"/>
        <v>6.4842466444032285E-2</v>
      </c>
      <c r="Z24" s="37">
        <f t="shared" si="28"/>
        <v>6.4842466444032285E-2</v>
      </c>
      <c r="AA24" s="37">
        <f t="shared" si="29"/>
        <v>6.4705347502180321E-2</v>
      </c>
      <c r="AB24" s="37">
        <v>0</v>
      </c>
      <c r="AC24" s="37">
        <f t="shared" si="8"/>
        <v>4.6054601949157056E-3</v>
      </c>
      <c r="AD24" s="40">
        <f t="shared" si="19"/>
        <v>4.6054601949157056E-3</v>
      </c>
      <c r="AE24" s="39">
        <f t="shared" si="27"/>
        <v>2.8629750114663701E-2</v>
      </c>
      <c r="AF24" s="37">
        <f t="shared" si="20"/>
        <v>3.3659203542970521E-2</v>
      </c>
      <c r="AG24" s="37">
        <f t="shared" si="9"/>
        <v>3.1722375528119343E-4</v>
      </c>
      <c r="AH24" s="37">
        <f t="shared" si="10"/>
        <v>5.6915759889257109E-2</v>
      </c>
      <c r="AI24" s="40">
        <f t="shared" si="21"/>
        <v>5.7232983644538299E-2</v>
      </c>
      <c r="AJ24" s="39">
        <f t="shared" si="22"/>
        <v>7.7171362471237639E-2</v>
      </c>
      <c r="AK24" s="37">
        <f t="shared" si="11"/>
        <v>5.5261559987307571E-2</v>
      </c>
      <c r="AL24" s="37">
        <f t="shared" si="12"/>
        <v>4.5333333333333337E-3</v>
      </c>
      <c r="AM24" s="37">
        <f t="shared" si="13"/>
        <v>0.59752000000000005</v>
      </c>
      <c r="AN24" s="40">
        <f t="shared" si="23"/>
        <v>0.60205333333333333</v>
      </c>
      <c r="AO24" s="39">
        <f t="shared" si="14"/>
        <v>1.359530379776543E-4</v>
      </c>
      <c r="AP24" s="37">
        <f t="shared" si="15"/>
        <v>4.5441000000000002E-2</v>
      </c>
      <c r="AQ24" s="40">
        <f t="shared" si="16"/>
        <v>1.0800000000000001E-2</v>
      </c>
      <c r="AR24" s="39">
        <f t="shared" si="24"/>
        <v>0.72026873021076498</v>
      </c>
      <c r="AS24" s="37">
        <f t="shared" si="25"/>
        <v>0.76500000000000001</v>
      </c>
      <c r="AT24" s="40">
        <f t="shared" si="26"/>
        <v>51.505830860079016</v>
      </c>
    </row>
    <row r="25" spans="17:46" x14ac:dyDescent="0.25">
      <c r="Q25">
        <v>18</v>
      </c>
      <c r="R25" s="39">
        <f t="shared" si="0"/>
        <v>135</v>
      </c>
      <c r="S25" s="37">
        <f t="shared" si="1"/>
        <v>6.000000000000001E-3</v>
      </c>
      <c r="T25" s="37">
        <f t="shared" si="2"/>
        <v>24</v>
      </c>
      <c r="U25" s="40">
        <f t="shared" si="3"/>
        <v>3.7500000000000006E-2</v>
      </c>
      <c r="V25" s="39">
        <f t="shared" si="4"/>
        <v>2</v>
      </c>
      <c r="W25" s="37">
        <f t="shared" si="5"/>
        <v>0.82222222222222219</v>
      </c>
      <c r="X25" s="40">
        <f t="shared" si="6"/>
        <v>0.17777777777777781</v>
      </c>
      <c r="Y25" s="39">
        <f t="shared" si="7"/>
        <v>6.5953654188948316E-2</v>
      </c>
      <c r="Z25" s="37">
        <f t="shared" si="28"/>
        <v>7.047682709447417E-2</v>
      </c>
      <c r="AA25" s="37">
        <f t="shared" si="29"/>
        <v>4.2056395174490988E-2</v>
      </c>
      <c r="AB25" s="37">
        <v>0</v>
      </c>
      <c r="AC25" s="37">
        <f t="shared" si="8"/>
        <v>1.9456144125802439E-3</v>
      </c>
      <c r="AD25" s="40">
        <f t="shared" si="19"/>
        <v>1.9456144125802439E-3</v>
      </c>
      <c r="AE25" s="39">
        <f t="shared" si="27"/>
        <v>3.0833333333333338E-2</v>
      </c>
      <c r="AF25" s="37">
        <f t="shared" si="20"/>
        <v>3.8135254577970852E-2</v>
      </c>
      <c r="AG25" s="37">
        <f t="shared" si="9"/>
        <v>4.0720333968346118E-4</v>
      </c>
      <c r="AH25" s="37">
        <f t="shared" si="10"/>
        <v>6.0263745765095772E-2</v>
      </c>
      <c r="AI25" s="40">
        <f t="shared" si="21"/>
        <v>6.0670949104779236E-2</v>
      </c>
      <c r="AJ25" s="39">
        <f t="shared" si="22"/>
        <v>6.6666666666666688E-3</v>
      </c>
      <c r="AK25" s="37">
        <f t="shared" si="11"/>
        <v>1.7732533190334146E-2</v>
      </c>
      <c r="AL25" s="37">
        <f t="shared" si="12"/>
        <v>4.8000000000000013E-3</v>
      </c>
      <c r="AM25" s="37">
        <f t="shared" si="13"/>
        <v>0.59752000000000005</v>
      </c>
      <c r="AN25" s="40">
        <f t="shared" si="23"/>
        <v>0.60232000000000008</v>
      </c>
      <c r="AO25" s="39">
        <f t="shared" si="14"/>
        <v>1.7451571700719763E-4</v>
      </c>
      <c r="AP25" s="37">
        <f t="shared" si="15"/>
        <v>4.5441000000000002E-2</v>
      </c>
      <c r="AQ25" s="40">
        <f t="shared" si="16"/>
        <v>1.0800000000000001E-2</v>
      </c>
      <c r="AR25" s="39">
        <f t="shared" si="24"/>
        <v>0.72135207923436673</v>
      </c>
      <c r="AS25" s="37">
        <f t="shared" si="25"/>
        <v>0.81000000000000016</v>
      </c>
      <c r="AT25" s="40">
        <f t="shared" si="26"/>
        <v>52.894433029730003</v>
      </c>
    </row>
    <row r="26" spans="17:46" x14ac:dyDescent="0.25">
      <c r="Q26">
        <v>19</v>
      </c>
      <c r="R26" s="39">
        <f t="shared" si="0"/>
        <v>135</v>
      </c>
      <c r="S26" s="37">
        <f t="shared" si="1"/>
        <v>6.333333333333334E-3</v>
      </c>
      <c r="T26" s="37">
        <f t="shared" si="2"/>
        <v>24</v>
      </c>
      <c r="U26" s="40">
        <f t="shared" si="3"/>
        <v>3.9583333333333338E-2</v>
      </c>
      <c r="V26" s="39">
        <f t="shared" si="4"/>
        <v>2</v>
      </c>
      <c r="W26" s="37">
        <f t="shared" si="5"/>
        <v>0.82222222222222219</v>
      </c>
      <c r="X26" s="40">
        <f t="shared" si="6"/>
        <v>0.17777777777777781</v>
      </c>
      <c r="Y26" s="39">
        <f t="shared" si="7"/>
        <v>6.5953654188948316E-2</v>
      </c>
      <c r="Z26" s="37">
        <f t="shared" si="28"/>
        <v>7.2560160427807496E-2</v>
      </c>
      <c r="AA26" s="37">
        <f t="shared" si="29"/>
        <v>4.3924146580790004E-2</v>
      </c>
      <c r="AB26" s="37">
        <v>0</v>
      </c>
      <c r="AC26" s="37">
        <f t="shared" si="8"/>
        <v>2.1222637181357988E-3</v>
      </c>
      <c r="AD26" s="40">
        <f t="shared" si="19"/>
        <v>2.1222637181357988E-3</v>
      </c>
      <c r="AE26" s="39">
        <f t="shared" si="27"/>
        <v>3.2546296296296302E-2</v>
      </c>
      <c r="AF26" s="37">
        <f t="shared" si="20"/>
        <v>3.9828865622665868E-2</v>
      </c>
      <c r="AG26" s="37">
        <f t="shared" si="9"/>
        <v>4.4417479030074507E-4</v>
      </c>
      <c r="AH26" s="37">
        <f t="shared" si="10"/>
        <v>6.3611731640934421E-2</v>
      </c>
      <c r="AI26" s="40">
        <f t="shared" si="21"/>
        <v>6.4055906431235168E-2</v>
      </c>
      <c r="AJ26" s="39">
        <f t="shared" si="22"/>
        <v>7.0370370370370396E-3</v>
      </c>
      <c r="AK26" s="37">
        <f t="shared" si="11"/>
        <v>1.8520046329919139E-2</v>
      </c>
      <c r="AL26" s="37">
        <f t="shared" si="12"/>
        <v>5.0666666666666672E-3</v>
      </c>
      <c r="AM26" s="37">
        <f t="shared" si="13"/>
        <v>0.59752000000000005</v>
      </c>
      <c r="AN26" s="40">
        <f t="shared" si="23"/>
        <v>0.60258666666666671</v>
      </c>
      <c r="AO26" s="39">
        <f t="shared" si="14"/>
        <v>1.90360624414605E-4</v>
      </c>
      <c r="AP26" s="37">
        <f t="shared" si="15"/>
        <v>4.5441000000000002E-2</v>
      </c>
      <c r="AQ26" s="40">
        <f t="shared" si="16"/>
        <v>1.0800000000000001E-2</v>
      </c>
      <c r="AR26" s="39">
        <f t="shared" si="24"/>
        <v>0.72519619744045227</v>
      </c>
      <c r="AS26" s="37">
        <f t="shared" si="25"/>
        <v>0.85500000000000009</v>
      </c>
      <c r="AT26" s="40">
        <f t="shared" si="26"/>
        <v>54.107205256214371</v>
      </c>
    </row>
    <row r="27" spans="17:46" x14ac:dyDescent="0.25">
      <c r="Q27">
        <v>20</v>
      </c>
      <c r="R27" s="39">
        <f t="shared" si="0"/>
        <v>135</v>
      </c>
      <c r="S27" s="37">
        <f t="shared" si="1"/>
        <v>6.666666666666668E-3</v>
      </c>
      <c r="T27" s="37">
        <f t="shared" si="2"/>
        <v>24</v>
      </c>
      <c r="U27" s="40">
        <f t="shared" si="3"/>
        <v>4.1666666666666671E-2</v>
      </c>
      <c r="V27" s="39">
        <f t="shared" si="4"/>
        <v>2</v>
      </c>
      <c r="W27" s="37">
        <f t="shared" si="5"/>
        <v>0.82222222222222219</v>
      </c>
      <c r="X27" s="40">
        <f t="shared" si="6"/>
        <v>0.17777777777777781</v>
      </c>
      <c r="Y27" s="39">
        <f t="shared" si="7"/>
        <v>6.5953654188948316E-2</v>
      </c>
      <c r="Z27" s="37">
        <f t="shared" si="28"/>
        <v>7.4643493761140822E-2</v>
      </c>
      <c r="AA27" s="37">
        <f t="shared" si="29"/>
        <v>4.5810495371520051E-2</v>
      </c>
      <c r="AB27" s="37">
        <v>0</v>
      </c>
      <c r="AC27" s="37">
        <f t="shared" si="8"/>
        <v>2.3084616348024662E-3</v>
      </c>
      <c r="AD27" s="40">
        <f t="shared" si="19"/>
        <v>2.3084616348024662E-3</v>
      </c>
      <c r="AE27" s="39">
        <f t="shared" si="27"/>
        <v>3.425925925925926E-2</v>
      </c>
      <c r="AF27" s="37">
        <f t="shared" si="20"/>
        <v>4.1539340119086089E-2</v>
      </c>
      <c r="AG27" s="37">
        <f t="shared" si="9"/>
        <v>4.8314469770815229E-4</v>
      </c>
      <c r="AH27" s="37">
        <f t="shared" si="10"/>
        <v>6.6959717516773085E-2</v>
      </c>
      <c r="AI27" s="40">
        <f t="shared" si="21"/>
        <v>6.7442862214481231E-2</v>
      </c>
      <c r="AJ27" s="39">
        <f t="shared" si="22"/>
        <v>7.4074074074074094E-3</v>
      </c>
      <c r="AK27" s="37">
        <f t="shared" si="11"/>
        <v>1.9315400815280638E-2</v>
      </c>
      <c r="AL27" s="37">
        <f t="shared" si="12"/>
        <v>5.3333333333333349E-3</v>
      </c>
      <c r="AM27" s="37">
        <f t="shared" si="13"/>
        <v>0.59752000000000005</v>
      </c>
      <c r="AN27" s="40">
        <f t="shared" si="23"/>
        <v>0.60285333333333335</v>
      </c>
      <c r="AO27" s="39">
        <f t="shared" si="14"/>
        <v>2.0706201330349382E-4</v>
      </c>
      <c r="AP27" s="37">
        <f t="shared" si="15"/>
        <v>4.5441000000000002E-2</v>
      </c>
      <c r="AQ27" s="40">
        <f t="shared" si="16"/>
        <v>1.0800000000000001E-2</v>
      </c>
      <c r="AR27" s="39">
        <f t="shared" si="24"/>
        <v>0.72905271919592052</v>
      </c>
      <c r="AS27" s="37">
        <f t="shared" si="25"/>
        <v>0.90000000000000013</v>
      </c>
      <c r="AT27" s="40">
        <f t="shared" si="26"/>
        <v>55.246830835789552</v>
      </c>
    </row>
    <row r="28" spans="17:46" x14ac:dyDescent="0.25">
      <c r="Q28">
        <v>21</v>
      </c>
      <c r="R28" s="39">
        <f t="shared" si="0"/>
        <v>135</v>
      </c>
      <c r="S28" s="37">
        <f t="shared" si="1"/>
        <v>7.000000000000001E-3</v>
      </c>
      <c r="T28" s="37">
        <f t="shared" si="2"/>
        <v>24</v>
      </c>
      <c r="U28" s="40">
        <f t="shared" si="3"/>
        <v>4.3750000000000004E-2</v>
      </c>
      <c r="V28" s="39">
        <f t="shared" si="4"/>
        <v>2</v>
      </c>
      <c r="W28" s="37">
        <f t="shared" si="5"/>
        <v>0.82222222222222219</v>
      </c>
      <c r="X28" s="40">
        <f t="shared" si="6"/>
        <v>0.17777777777777781</v>
      </c>
      <c r="Y28" s="39">
        <f t="shared" si="7"/>
        <v>6.5953654188948316E-2</v>
      </c>
      <c r="Z28" s="37">
        <f t="shared" si="28"/>
        <v>7.6726827094474162E-2</v>
      </c>
      <c r="AA28" s="37">
        <f t="shared" si="29"/>
        <v>4.7713235847854092E-2</v>
      </c>
      <c r="AB28" s="37">
        <v>0</v>
      </c>
      <c r="AC28" s="37">
        <f t="shared" si="8"/>
        <v>2.5042081625802439E-3</v>
      </c>
      <c r="AD28" s="40">
        <f t="shared" si="19"/>
        <v>2.5042081625802439E-3</v>
      </c>
      <c r="AE28" s="39">
        <f t="shared" si="27"/>
        <v>3.5972222222222225E-2</v>
      </c>
      <c r="AF28" s="37">
        <f t="shared" si="20"/>
        <v>4.3264678017395065E-2</v>
      </c>
      <c r="AG28" s="37">
        <f t="shared" si="9"/>
        <v>5.2411306190568304E-4</v>
      </c>
      <c r="AH28" s="37">
        <f t="shared" si="10"/>
        <v>7.0307703392611734E-2</v>
      </c>
      <c r="AI28" s="40">
        <f t="shared" si="21"/>
        <v>7.0831816454517416E-2</v>
      </c>
      <c r="AJ28" s="39">
        <f t="shared" si="22"/>
        <v>7.7777777777777802E-3</v>
      </c>
      <c r="AK28" s="37">
        <f t="shared" si="11"/>
        <v>2.0117666642135205E-2</v>
      </c>
      <c r="AL28" s="37">
        <f t="shared" si="12"/>
        <v>5.6000000000000008E-3</v>
      </c>
      <c r="AM28" s="37">
        <f t="shared" si="13"/>
        <v>0.59752000000000005</v>
      </c>
      <c r="AN28" s="40">
        <f t="shared" si="23"/>
        <v>0.6031200000000001</v>
      </c>
      <c r="AO28" s="39">
        <f t="shared" si="14"/>
        <v>2.2461988367386413E-4</v>
      </c>
      <c r="AP28" s="37">
        <f t="shared" si="15"/>
        <v>4.5441000000000002E-2</v>
      </c>
      <c r="AQ28" s="40">
        <f t="shared" si="16"/>
        <v>1.0800000000000001E-2</v>
      </c>
      <c r="AR28" s="39">
        <f t="shared" si="24"/>
        <v>0.73292164450077157</v>
      </c>
      <c r="AS28" s="37">
        <f t="shared" si="25"/>
        <v>0.94500000000000017</v>
      </c>
      <c r="AT28" s="40">
        <f t="shared" si="26"/>
        <v>56.319673990567289</v>
      </c>
    </row>
    <row r="29" spans="17:46" x14ac:dyDescent="0.25">
      <c r="Q29">
        <v>22</v>
      </c>
      <c r="R29" s="39">
        <f t="shared" si="0"/>
        <v>135</v>
      </c>
      <c r="S29" s="37">
        <f t="shared" si="1"/>
        <v>7.3333333333333341E-3</v>
      </c>
      <c r="T29" s="37">
        <f t="shared" si="2"/>
        <v>24</v>
      </c>
      <c r="U29" s="40">
        <f t="shared" si="3"/>
        <v>4.5833333333333337E-2</v>
      </c>
      <c r="V29" s="39">
        <f t="shared" si="4"/>
        <v>2</v>
      </c>
      <c r="W29" s="37">
        <f t="shared" si="5"/>
        <v>0.82222222222222219</v>
      </c>
      <c r="X29" s="40">
        <f t="shared" si="6"/>
        <v>0.17777777777777781</v>
      </c>
      <c r="Y29" s="39">
        <f t="shared" si="7"/>
        <v>6.5953654188948316E-2</v>
      </c>
      <c r="Z29" s="37">
        <f t="shared" si="28"/>
        <v>7.8810160427807502E-2</v>
      </c>
      <c r="AA29" s="37">
        <f t="shared" si="29"/>
        <v>4.9630482765306579E-2</v>
      </c>
      <c r="AB29" s="37">
        <v>0</v>
      </c>
      <c r="AC29" s="37">
        <f t="shared" si="8"/>
        <v>2.7095033014691329E-3</v>
      </c>
      <c r="AD29" s="40">
        <f t="shared" si="19"/>
        <v>2.7095033014691329E-3</v>
      </c>
      <c r="AE29" s="39">
        <f t="shared" si="27"/>
        <v>3.768518518518519E-2</v>
      </c>
      <c r="AF29" s="37">
        <f t="shared" si="20"/>
        <v>4.5003169844441346E-2</v>
      </c>
      <c r="AG29" s="37">
        <f t="shared" si="9"/>
        <v>5.6707988289333771E-4</v>
      </c>
      <c r="AH29" s="37">
        <f t="shared" si="10"/>
        <v>7.3655689268450383E-2</v>
      </c>
      <c r="AI29" s="40">
        <f t="shared" si="21"/>
        <v>7.4222769151343723E-2</v>
      </c>
      <c r="AJ29" s="39">
        <f t="shared" si="22"/>
        <v>8.1481481481481509E-3</v>
      </c>
      <c r="AK29" s="37">
        <f t="shared" si="11"/>
        <v>2.0926048921613438E-2</v>
      </c>
      <c r="AL29" s="37">
        <f t="shared" si="12"/>
        <v>5.8666666666666676E-3</v>
      </c>
      <c r="AM29" s="37">
        <f t="shared" si="13"/>
        <v>0.59752000000000005</v>
      </c>
      <c r="AN29" s="40">
        <f t="shared" si="23"/>
        <v>0.60338666666666674</v>
      </c>
      <c r="AO29" s="39">
        <f t="shared" si="14"/>
        <v>2.4303423552571616E-4</v>
      </c>
      <c r="AP29" s="37">
        <f t="shared" si="15"/>
        <v>4.5441000000000002E-2</v>
      </c>
      <c r="AQ29" s="40">
        <f t="shared" si="16"/>
        <v>1.0800000000000001E-2</v>
      </c>
      <c r="AR29" s="39">
        <f t="shared" si="24"/>
        <v>0.73680297335500533</v>
      </c>
      <c r="AS29" s="37">
        <f t="shared" si="25"/>
        <v>0.9900000000000001</v>
      </c>
      <c r="AT29" s="40">
        <f t="shared" si="26"/>
        <v>57.331381476401397</v>
      </c>
    </row>
    <row r="30" spans="17:46" x14ac:dyDescent="0.25">
      <c r="Q30">
        <v>23</v>
      </c>
      <c r="R30" s="39">
        <f t="shared" si="0"/>
        <v>135</v>
      </c>
      <c r="S30" s="37">
        <f t="shared" si="1"/>
        <v>7.666666666666668E-3</v>
      </c>
      <c r="T30" s="37">
        <f t="shared" si="2"/>
        <v>24</v>
      </c>
      <c r="U30" s="40">
        <f t="shared" si="3"/>
        <v>4.791666666666667E-2</v>
      </c>
      <c r="V30" s="39">
        <f t="shared" si="4"/>
        <v>2</v>
      </c>
      <c r="W30" s="37">
        <f t="shared" si="5"/>
        <v>0.82222222222222219</v>
      </c>
      <c r="X30" s="40">
        <f t="shared" si="6"/>
        <v>0.17777777777777781</v>
      </c>
      <c r="Y30" s="39">
        <f t="shared" si="7"/>
        <v>6.5953654188948316E-2</v>
      </c>
      <c r="Z30" s="37">
        <f t="shared" si="28"/>
        <v>8.0893493761140828E-2</v>
      </c>
      <c r="AA30" s="37">
        <f t="shared" si="29"/>
        <v>5.1560617912486201E-2</v>
      </c>
      <c r="AB30" s="37">
        <v>0</v>
      </c>
      <c r="AC30" s="37">
        <f t="shared" si="8"/>
        <v>2.9243470514691322E-3</v>
      </c>
      <c r="AD30" s="40">
        <f t="shared" si="19"/>
        <v>2.9243470514691322E-3</v>
      </c>
      <c r="AE30" s="39">
        <f t="shared" si="27"/>
        <v>3.9398148148148147E-2</v>
      </c>
      <c r="AF30" s="37">
        <f t="shared" si="20"/>
        <v>4.6753348263257173E-2</v>
      </c>
      <c r="AG30" s="37">
        <f t="shared" si="9"/>
        <v>6.1204516067111549E-4</v>
      </c>
      <c r="AH30" s="37">
        <f t="shared" si="10"/>
        <v>7.7003675144289033E-2</v>
      </c>
      <c r="AI30" s="40">
        <f t="shared" si="21"/>
        <v>7.7615720304960154E-2</v>
      </c>
      <c r="AJ30" s="39">
        <f t="shared" si="22"/>
        <v>8.5185185185185208E-3</v>
      </c>
      <c r="AK30" s="37">
        <f t="shared" si="11"/>
        <v>2.1739865355884364E-2</v>
      </c>
      <c r="AL30" s="37">
        <f t="shared" si="12"/>
        <v>6.1333333333333344E-3</v>
      </c>
      <c r="AM30" s="37">
        <f t="shared" si="13"/>
        <v>0.59752000000000005</v>
      </c>
      <c r="AN30" s="40">
        <f t="shared" si="23"/>
        <v>0.60365333333333338</v>
      </c>
      <c r="AO30" s="39">
        <f t="shared" si="14"/>
        <v>2.6230506885904949E-4</v>
      </c>
      <c r="AP30" s="37">
        <f t="shared" si="15"/>
        <v>4.5441000000000002E-2</v>
      </c>
      <c r="AQ30" s="40">
        <f t="shared" si="16"/>
        <v>1.0800000000000001E-2</v>
      </c>
      <c r="AR30" s="39">
        <f t="shared" si="24"/>
        <v>0.74069670575862168</v>
      </c>
      <c r="AS30" s="37">
        <f t="shared" si="25"/>
        <v>1.0350000000000001</v>
      </c>
      <c r="AT30" s="40">
        <f t="shared" si="26"/>
        <v>58.286980915348522</v>
      </c>
    </row>
    <row r="31" spans="17:46" x14ac:dyDescent="0.25">
      <c r="Q31">
        <v>24</v>
      </c>
      <c r="R31" s="39">
        <f t="shared" si="0"/>
        <v>135</v>
      </c>
      <c r="S31" s="37">
        <f t="shared" si="1"/>
        <v>8.0000000000000002E-3</v>
      </c>
      <c r="T31" s="37">
        <f t="shared" si="2"/>
        <v>24</v>
      </c>
      <c r="U31" s="40">
        <f t="shared" si="3"/>
        <v>0.05</v>
      </c>
      <c r="V31" s="39">
        <f t="shared" si="4"/>
        <v>2</v>
      </c>
      <c r="W31" s="37">
        <f t="shared" si="5"/>
        <v>0.82222222222222219</v>
      </c>
      <c r="X31" s="40">
        <f t="shared" si="6"/>
        <v>0.17777777777777781</v>
      </c>
      <c r="Y31" s="39">
        <f t="shared" si="7"/>
        <v>6.5953654188948316E-2</v>
      </c>
      <c r="Z31" s="37">
        <f t="shared" si="28"/>
        <v>8.2976827094474154E-2</v>
      </c>
      <c r="AA31" s="37">
        <f t="shared" si="29"/>
        <v>5.3502246448845013E-2</v>
      </c>
      <c r="AB31" s="37">
        <v>0</v>
      </c>
      <c r="AC31" s="37">
        <f t="shared" si="8"/>
        <v>3.1487394125802441E-3</v>
      </c>
      <c r="AD31" s="40">
        <f t="shared" si="19"/>
        <v>3.1487394125802441E-3</v>
      </c>
      <c r="AE31" s="39">
        <f t="shared" si="27"/>
        <v>4.1111111111111112E-2</v>
      </c>
      <c r="AF31" s="37">
        <f t="shared" si="20"/>
        <v>4.8513948481670725E-2</v>
      </c>
      <c r="AG31" s="37">
        <f t="shared" si="9"/>
        <v>6.5900889523901637E-4</v>
      </c>
      <c r="AH31" s="37">
        <f t="shared" si="10"/>
        <v>8.0351661020127682E-2</v>
      </c>
      <c r="AI31" s="40">
        <f t="shared" si="21"/>
        <v>8.1010669915366693E-2</v>
      </c>
      <c r="AJ31" s="39">
        <f t="shared" si="22"/>
        <v>8.8888888888888906E-3</v>
      </c>
      <c r="AK31" s="37">
        <f t="shared" si="11"/>
        <v>2.2558527828534077E-2</v>
      </c>
      <c r="AL31" s="37">
        <f t="shared" si="12"/>
        <v>6.4000000000000003E-3</v>
      </c>
      <c r="AM31" s="37">
        <f t="shared" si="13"/>
        <v>0.59752000000000005</v>
      </c>
      <c r="AN31" s="40">
        <f t="shared" si="23"/>
        <v>0.60392000000000001</v>
      </c>
      <c r="AO31" s="39">
        <f t="shared" si="14"/>
        <v>2.8243238367386411E-4</v>
      </c>
      <c r="AP31" s="37">
        <f t="shared" si="15"/>
        <v>4.5441000000000002E-2</v>
      </c>
      <c r="AQ31" s="40">
        <f t="shared" si="16"/>
        <v>1.0800000000000001E-2</v>
      </c>
      <c r="AR31" s="39">
        <f t="shared" si="24"/>
        <v>0.74460284171162072</v>
      </c>
      <c r="AS31" s="37">
        <f t="shared" si="25"/>
        <v>1.08</v>
      </c>
      <c r="AT31" s="40">
        <f t="shared" si="26"/>
        <v>59.190963387236387</v>
      </c>
    </row>
    <row r="32" spans="17:46" x14ac:dyDescent="0.25">
      <c r="Q32">
        <v>25</v>
      </c>
      <c r="R32" s="39">
        <f t="shared" si="0"/>
        <v>135</v>
      </c>
      <c r="S32" s="37">
        <f t="shared" si="1"/>
        <v>8.333333333333335E-3</v>
      </c>
      <c r="T32" s="37">
        <f t="shared" si="2"/>
        <v>24</v>
      </c>
      <c r="U32" s="40">
        <f t="shared" si="3"/>
        <v>5.2083333333333343E-2</v>
      </c>
      <c r="V32" s="39">
        <f t="shared" si="4"/>
        <v>2</v>
      </c>
      <c r="W32" s="37">
        <f t="shared" si="5"/>
        <v>0.82222222222222219</v>
      </c>
      <c r="X32" s="40">
        <f t="shared" si="6"/>
        <v>0.17777777777777781</v>
      </c>
      <c r="Y32" s="39">
        <f t="shared" si="7"/>
        <v>6.5953654188948316E-2</v>
      </c>
      <c r="Z32" s="37">
        <f t="shared" si="28"/>
        <v>8.5060160427807507E-2</v>
      </c>
      <c r="AA32" s="37">
        <f t="shared" si="29"/>
        <v>5.5454161125961146E-2</v>
      </c>
      <c r="AB32" s="37">
        <v>0</v>
      </c>
      <c r="AC32" s="37">
        <f t="shared" si="8"/>
        <v>3.3826803848024667E-3</v>
      </c>
      <c r="AD32" s="40">
        <f t="shared" si="19"/>
        <v>3.3826803848024667E-3</v>
      </c>
      <c r="AE32" s="39">
        <f t="shared" si="27"/>
        <v>4.2824074074074077E-2</v>
      </c>
      <c r="AF32" s="37">
        <f t="shared" si="20"/>
        <v>5.0283875809428266E-2</v>
      </c>
      <c r="AG32" s="37">
        <f t="shared" si="9"/>
        <v>7.0797108659704155E-4</v>
      </c>
      <c r="AH32" s="37">
        <f t="shared" si="10"/>
        <v>8.3699646895966345E-2</v>
      </c>
      <c r="AI32" s="40">
        <f t="shared" si="21"/>
        <v>8.4407617982563382E-2</v>
      </c>
      <c r="AJ32" s="39">
        <f t="shared" si="22"/>
        <v>9.2592592592592622E-3</v>
      </c>
      <c r="AK32" s="37">
        <f t="shared" si="11"/>
        <v>2.3381527318933965E-2</v>
      </c>
      <c r="AL32" s="37">
        <f t="shared" si="12"/>
        <v>6.666666666666668E-3</v>
      </c>
      <c r="AM32" s="37">
        <f t="shared" si="13"/>
        <v>0.59752000000000005</v>
      </c>
      <c r="AN32" s="40">
        <f t="shared" si="23"/>
        <v>0.60418666666666676</v>
      </c>
      <c r="AO32" s="39">
        <f t="shared" si="14"/>
        <v>3.0341617997016061E-4</v>
      </c>
      <c r="AP32" s="37">
        <f t="shared" si="15"/>
        <v>4.5441000000000002E-2</v>
      </c>
      <c r="AQ32" s="40">
        <f t="shared" si="16"/>
        <v>1.0800000000000001E-2</v>
      </c>
      <c r="AR32" s="39">
        <f t="shared" si="24"/>
        <v>0.7485213812140028</v>
      </c>
      <c r="AS32" s="37">
        <f t="shared" si="25"/>
        <v>1.1250000000000002</v>
      </c>
      <c r="AT32" s="40">
        <f t="shared" si="26"/>
        <v>60.047353143684091</v>
      </c>
    </row>
    <row r="33" spans="17:46" x14ac:dyDescent="0.25">
      <c r="Q33">
        <v>26</v>
      </c>
      <c r="R33" s="39">
        <f t="shared" si="0"/>
        <v>135</v>
      </c>
      <c r="S33" s="37">
        <f t="shared" si="1"/>
        <v>8.666666666666668E-3</v>
      </c>
      <c r="T33" s="37">
        <f t="shared" si="2"/>
        <v>24</v>
      </c>
      <c r="U33" s="40">
        <f t="shared" si="3"/>
        <v>5.4166666666666669E-2</v>
      </c>
      <c r="V33" s="39">
        <f t="shared" si="4"/>
        <v>2</v>
      </c>
      <c r="W33" s="37">
        <f t="shared" si="5"/>
        <v>0.82222222222222219</v>
      </c>
      <c r="X33" s="40">
        <f t="shared" si="6"/>
        <v>0.17777777777777781</v>
      </c>
      <c r="Y33" s="39">
        <f t="shared" si="7"/>
        <v>6.5953654188948316E-2</v>
      </c>
      <c r="Z33" s="37">
        <f t="shared" si="28"/>
        <v>8.7143493761140833E-2</v>
      </c>
      <c r="AA33" s="37">
        <f t="shared" si="29"/>
        <v>5.7415312877756981E-2</v>
      </c>
      <c r="AB33" s="37">
        <v>0</v>
      </c>
      <c r="AC33" s="37">
        <f t="shared" si="8"/>
        <v>3.6261699681357992E-3</v>
      </c>
      <c r="AD33" s="40">
        <f t="shared" si="19"/>
        <v>3.6261699681357992E-3</v>
      </c>
      <c r="AE33" s="39">
        <f t="shared" si="27"/>
        <v>4.4537037037037035E-2</v>
      </c>
      <c r="AF33" s="37">
        <f t="shared" si="20"/>
        <v>5.2062178990441993E-2</v>
      </c>
      <c r="AG33" s="37">
        <f t="shared" si="9"/>
        <v>7.5893173474518962E-4</v>
      </c>
      <c r="AH33" s="37">
        <f t="shared" si="10"/>
        <v>8.7047632771804995E-2</v>
      </c>
      <c r="AI33" s="40">
        <f t="shared" si="21"/>
        <v>8.780656450655018E-2</v>
      </c>
      <c r="AJ33" s="39">
        <f t="shared" si="22"/>
        <v>9.6296296296296321E-3</v>
      </c>
      <c r="AK33" s="37">
        <f t="shared" si="11"/>
        <v>2.4208421501987838E-2</v>
      </c>
      <c r="AL33" s="37">
        <f t="shared" si="12"/>
        <v>6.9333333333333347E-3</v>
      </c>
      <c r="AM33" s="37">
        <f t="shared" si="13"/>
        <v>0.59752000000000005</v>
      </c>
      <c r="AN33" s="40">
        <f t="shared" si="23"/>
        <v>0.6044533333333334</v>
      </c>
      <c r="AO33" s="39">
        <f t="shared" si="14"/>
        <v>3.2525645774793835E-4</v>
      </c>
      <c r="AP33" s="37">
        <f t="shared" si="15"/>
        <v>4.5441000000000002E-2</v>
      </c>
      <c r="AQ33" s="40">
        <f t="shared" si="16"/>
        <v>1.0800000000000001E-2</v>
      </c>
      <c r="AR33" s="39">
        <f t="shared" si="24"/>
        <v>0.75245232426576736</v>
      </c>
      <c r="AS33" s="37">
        <f t="shared" si="25"/>
        <v>1.1700000000000002</v>
      </c>
      <c r="AT33" s="40">
        <f t="shared" si="26"/>
        <v>60.859766727731589</v>
      </c>
    </row>
    <row r="34" spans="17:46" x14ac:dyDescent="0.25">
      <c r="Q34">
        <v>27</v>
      </c>
      <c r="R34" s="39">
        <f t="shared" si="0"/>
        <v>135</v>
      </c>
      <c r="S34" s="37">
        <f t="shared" si="1"/>
        <v>9.0000000000000011E-3</v>
      </c>
      <c r="T34" s="37">
        <f t="shared" si="2"/>
        <v>24</v>
      </c>
      <c r="U34" s="40">
        <f t="shared" si="3"/>
        <v>5.6250000000000001E-2</v>
      </c>
      <c r="V34" s="39">
        <f t="shared" si="4"/>
        <v>2</v>
      </c>
      <c r="W34" s="37">
        <f t="shared" si="5"/>
        <v>0.82222222222222219</v>
      </c>
      <c r="X34" s="40">
        <f t="shared" si="6"/>
        <v>0.17777777777777781</v>
      </c>
      <c r="Y34" s="39">
        <f t="shared" si="7"/>
        <v>6.5953654188948316E-2</v>
      </c>
      <c r="Z34" s="37">
        <f t="shared" si="28"/>
        <v>8.9226827094474159E-2</v>
      </c>
      <c r="AA34" s="37">
        <f t="shared" si="29"/>
        <v>5.9384786562493838E-2</v>
      </c>
      <c r="AB34" s="37">
        <v>0</v>
      </c>
      <c r="AC34" s="37">
        <f t="shared" si="8"/>
        <v>3.8792081625802438E-3</v>
      </c>
      <c r="AD34" s="40">
        <f t="shared" si="19"/>
        <v>3.8792081625802438E-3</v>
      </c>
      <c r="AE34" s="39">
        <f t="shared" si="27"/>
        <v>4.6249999999999999E-2</v>
      </c>
      <c r="AF34" s="37">
        <f t="shared" si="20"/>
        <v>5.384802820648725E-2</v>
      </c>
      <c r="AG34" s="37">
        <f t="shared" si="9"/>
        <v>8.1189083968346112E-4</v>
      </c>
      <c r="AH34" s="37">
        <f t="shared" si="10"/>
        <v>9.0395618647643644E-2</v>
      </c>
      <c r="AI34" s="40">
        <f t="shared" si="21"/>
        <v>9.1207509487327101E-2</v>
      </c>
      <c r="AJ34" s="39">
        <f t="shared" si="22"/>
        <v>1.0000000000000002E-2</v>
      </c>
      <c r="AK34" s="37">
        <f t="shared" si="11"/>
        <v>2.5038824520058886E-2</v>
      </c>
      <c r="AL34" s="37">
        <f t="shared" si="12"/>
        <v>7.2000000000000015E-3</v>
      </c>
      <c r="AM34" s="37">
        <f t="shared" si="13"/>
        <v>0.59752000000000005</v>
      </c>
      <c r="AN34" s="40">
        <f t="shared" si="23"/>
        <v>0.60472000000000004</v>
      </c>
      <c r="AO34" s="39">
        <f t="shared" si="14"/>
        <v>3.4795321700719755E-4</v>
      </c>
      <c r="AP34" s="37">
        <f t="shared" si="15"/>
        <v>4.5441000000000002E-2</v>
      </c>
      <c r="AQ34" s="40">
        <f t="shared" si="16"/>
        <v>1.0800000000000001E-2</v>
      </c>
      <c r="AR34" s="39">
        <f t="shared" si="24"/>
        <v>0.75639567086691462</v>
      </c>
      <c r="AS34" s="37">
        <f t="shared" si="25"/>
        <v>1.2150000000000001</v>
      </c>
      <c r="AT34" s="40">
        <f t="shared" si="26"/>
        <v>61.631463331037338</v>
      </c>
    </row>
    <row r="35" spans="17:46" x14ac:dyDescent="0.25">
      <c r="Q35">
        <v>28</v>
      </c>
      <c r="R35" s="39">
        <f t="shared" si="0"/>
        <v>135</v>
      </c>
      <c r="S35" s="37">
        <f t="shared" si="1"/>
        <v>9.3333333333333341E-3</v>
      </c>
      <c r="T35" s="37">
        <f t="shared" si="2"/>
        <v>24</v>
      </c>
      <c r="U35" s="40">
        <f t="shared" si="3"/>
        <v>5.8333333333333327E-2</v>
      </c>
      <c r="V35" s="39">
        <f t="shared" si="4"/>
        <v>2</v>
      </c>
      <c r="W35" s="37">
        <f t="shared" si="5"/>
        <v>0.82222222222222219</v>
      </c>
      <c r="X35" s="40">
        <f t="shared" si="6"/>
        <v>0.17777777777777781</v>
      </c>
      <c r="Y35" s="39">
        <f t="shared" si="7"/>
        <v>6.5953654188948316E-2</v>
      </c>
      <c r="Z35" s="37">
        <f t="shared" si="28"/>
        <v>9.1310160427807485E-2</v>
      </c>
      <c r="AA35" s="37">
        <f t="shared" si="29"/>
        <v>6.1361780880697436E-2</v>
      </c>
      <c r="AB35" s="37">
        <v>0</v>
      </c>
      <c r="AC35" s="37">
        <f t="shared" si="8"/>
        <v>4.1417949681357988E-3</v>
      </c>
      <c r="AD35" s="40">
        <f t="shared" si="19"/>
        <v>4.1417949681357988E-3</v>
      </c>
      <c r="AE35" s="39">
        <f t="shared" si="27"/>
        <v>4.7962962962962957E-2</v>
      </c>
      <c r="AF35" s="37">
        <f t="shared" si="20"/>
        <v>5.564069686748617E-2</v>
      </c>
      <c r="AG35" s="37">
        <f t="shared" si="9"/>
        <v>8.6684840141185594E-4</v>
      </c>
      <c r="AH35" s="37">
        <f t="shared" si="10"/>
        <v>9.374360452348228E-2</v>
      </c>
      <c r="AI35" s="40">
        <f t="shared" si="21"/>
        <v>9.4610452924894131E-2</v>
      </c>
      <c r="AJ35" s="39">
        <f t="shared" si="22"/>
        <v>1.0370370370370372E-2</v>
      </c>
      <c r="AK35" s="37">
        <f t="shared" si="11"/>
        <v>2.5872398515623559E-2</v>
      </c>
      <c r="AL35" s="37">
        <f t="shared" si="12"/>
        <v>7.4666666666666675E-3</v>
      </c>
      <c r="AM35" s="37">
        <f t="shared" si="13"/>
        <v>0.59752000000000005</v>
      </c>
      <c r="AN35" s="40">
        <f t="shared" si="23"/>
        <v>0.60498666666666667</v>
      </c>
      <c r="AO35" s="39">
        <f t="shared" si="14"/>
        <v>3.715064577479382E-4</v>
      </c>
      <c r="AP35" s="37">
        <f t="shared" si="15"/>
        <v>4.5441000000000002E-2</v>
      </c>
      <c r="AQ35" s="40">
        <f t="shared" si="16"/>
        <v>1.0800000000000001E-2</v>
      </c>
      <c r="AR35" s="39">
        <f t="shared" si="24"/>
        <v>0.76035142101744457</v>
      </c>
      <c r="AS35" s="37">
        <f t="shared" si="25"/>
        <v>1.26</v>
      </c>
      <c r="AT35" s="40">
        <f t="shared" si="26"/>
        <v>62.365387867298196</v>
      </c>
    </row>
    <row r="36" spans="17:46" x14ac:dyDescent="0.25">
      <c r="Q36">
        <v>29</v>
      </c>
      <c r="R36" s="39">
        <f t="shared" si="0"/>
        <v>135</v>
      </c>
      <c r="S36" s="37">
        <f t="shared" si="1"/>
        <v>9.6666666666666672E-3</v>
      </c>
      <c r="T36" s="37">
        <f t="shared" si="2"/>
        <v>24</v>
      </c>
      <c r="U36" s="40">
        <f t="shared" si="3"/>
        <v>6.0416666666666667E-2</v>
      </c>
      <c r="V36" s="39">
        <f t="shared" si="4"/>
        <v>2</v>
      </c>
      <c r="W36" s="37">
        <f t="shared" si="5"/>
        <v>0.82222222222222219</v>
      </c>
      <c r="X36" s="40">
        <f t="shared" si="6"/>
        <v>0.17777777777777781</v>
      </c>
      <c r="Y36" s="39">
        <f t="shared" si="7"/>
        <v>6.5953654188948316E-2</v>
      </c>
      <c r="Z36" s="37">
        <f t="shared" si="28"/>
        <v>9.3393493761140825E-2</v>
      </c>
      <c r="AA36" s="37">
        <f t="shared" si="29"/>
        <v>6.3345591687062636E-2</v>
      </c>
      <c r="AB36" s="37">
        <v>0</v>
      </c>
      <c r="AC36" s="37">
        <f t="shared" si="8"/>
        <v>4.413930384802465E-3</v>
      </c>
      <c r="AD36" s="40">
        <f t="shared" si="19"/>
        <v>4.413930384802465E-3</v>
      </c>
      <c r="AE36" s="39">
        <f t="shared" si="27"/>
        <v>4.9675925925925922E-2</v>
      </c>
      <c r="AF36" s="37">
        <f t="shared" si="20"/>
        <v>5.7439546479331971E-2</v>
      </c>
      <c r="AG36" s="37">
        <f t="shared" si="9"/>
        <v>9.2380441993037462E-4</v>
      </c>
      <c r="AH36" s="37">
        <f t="shared" si="10"/>
        <v>9.7091590399320943E-2</v>
      </c>
      <c r="AI36" s="40">
        <f t="shared" si="21"/>
        <v>9.8015394819251311E-2</v>
      </c>
      <c r="AJ36" s="39">
        <f t="shared" si="22"/>
        <v>1.0740740740740743E-2</v>
      </c>
      <c r="AK36" s="37">
        <f t="shared" si="11"/>
        <v>2.6708846594952804E-2</v>
      </c>
      <c r="AL36" s="37">
        <f t="shared" si="12"/>
        <v>7.7333333333333342E-3</v>
      </c>
      <c r="AM36" s="37">
        <f t="shared" si="13"/>
        <v>0.59752000000000005</v>
      </c>
      <c r="AN36" s="40">
        <f t="shared" si="23"/>
        <v>0.60525333333333342</v>
      </c>
      <c r="AO36" s="39">
        <f t="shared" si="14"/>
        <v>3.9591617997016053E-4</v>
      </c>
      <c r="AP36" s="37">
        <f t="shared" si="15"/>
        <v>4.5441000000000002E-2</v>
      </c>
      <c r="AQ36" s="40">
        <f t="shared" si="16"/>
        <v>1.0800000000000001E-2</v>
      </c>
      <c r="AR36" s="39">
        <f t="shared" si="24"/>
        <v>0.76431957471735734</v>
      </c>
      <c r="AS36" s="37">
        <f t="shared" si="25"/>
        <v>1.3050000000000002</v>
      </c>
      <c r="AT36" s="40">
        <f t="shared" si="26"/>
        <v>63.064207962090457</v>
      </c>
    </row>
    <row r="37" spans="17:46" x14ac:dyDescent="0.25">
      <c r="Q37">
        <v>30</v>
      </c>
      <c r="R37" s="39">
        <f t="shared" si="0"/>
        <v>135</v>
      </c>
      <c r="S37" s="37">
        <f t="shared" si="1"/>
        <v>1.0000000000000002E-2</v>
      </c>
      <c r="T37" s="37">
        <f t="shared" si="2"/>
        <v>24</v>
      </c>
      <c r="U37" s="40">
        <f t="shared" si="3"/>
        <v>6.2500000000000014E-2</v>
      </c>
      <c r="V37" s="39">
        <f t="shared" si="4"/>
        <v>2</v>
      </c>
      <c r="W37" s="37">
        <f t="shared" si="5"/>
        <v>0.82222222222222219</v>
      </c>
      <c r="X37" s="40">
        <f t="shared" si="6"/>
        <v>0.17777777777777781</v>
      </c>
      <c r="Y37" s="39">
        <f t="shared" si="7"/>
        <v>6.5953654188948316E-2</v>
      </c>
      <c r="Z37" s="37">
        <f t="shared" si="28"/>
        <v>9.5476827094474165E-2</v>
      </c>
      <c r="AA37" s="37">
        <f t="shared" si="29"/>
        <v>6.5335598069298714E-2</v>
      </c>
      <c r="AB37" s="37">
        <v>0</v>
      </c>
      <c r="AC37" s="37">
        <f t="shared" si="8"/>
        <v>4.6956144125802459E-3</v>
      </c>
      <c r="AD37" s="40">
        <f t="shared" si="19"/>
        <v>4.6956144125802459E-3</v>
      </c>
      <c r="AE37" s="39">
        <f t="shared" si="27"/>
        <v>5.1388888888888901E-2</v>
      </c>
      <c r="AF37" s="37">
        <f t="shared" si="20"/>
        <v>5.9244014020677249E-2</v>
      </c>
      <c r="AG37" s="37">
        <f t="shared" si="9"/>
        <v>9.8275889523901684E-4</v>
      </c>
      <c r="AH37" s="37">
        <f t="shared" si="10"/>
        <v>0.10043957627515963</v>
      </c>
      <c r="AI37" s="40">
        <f t="shared" si="21"/>
        <v>0.10142233517039866</v>
      </c>
      <c r="AJ37" s="39">
        <f t="shared" si="22"/>
        <v>1.1111111111111115E-2</v>
      </c>
      <c r="AK37" s="37">
        <f t="shared" si="11"/>
        <v>2.7547906958437819E-2</v>
      </c>
      <c r="AL37" s="37">
        <f t="shared" si="12"/>
        <v>8.0000000000000019E-3</v>
      </c>
      <c r="AM37" s="37">
        <f t="shared" si="13"/>
        <v>0.59752000000000005</v>
      </c>
      <c r="AN37" s="40">
        <f t="shared" si="23"/>
        <v>0.60552000000000006</v>
      </c>
      <c r="AO37" s="39">
        <f t="shared" si="14"/>
        <v>4.2118238367386431E-4</v>
      </c>
      <c r="AP37" s="37">
        <f t="shared" si="15"/>
        <v>4.5441000000000002E-2</v>
      </c>
      <c r="AQ37" s="40">
        <f t="shared" si="16"/>
        <v>1.0800000000000001E-2</v>
      </c>
      <c r="AR37" s="39">
        <f t="shared" si="24"/>
        <v>0.76830013196665281</v>
      </c>
      <c r="AS37" s="37">
        <f t="shared" si="25"/>
        <v>1.3500000000000003</v>
      </c>
      <c r="AT37" s="40">
        <f t="shared" si="26"/>
        <v>63.730345838511816</v>
      </c>
    </row>
    <row r="38" spans="17:46" x14ac:dyDescent="0.25">
      <c r="Q38">
        <v>31</v>
      </c>
      <c r="R38" s="39">
        <f t="shared" si="0"/>
        <v>135</v>
      </c>
      <c r="S38" s="37">
        <f t="shared" si="1"/>
        <v>1.0333333333333335E-2</v>
      </c>
      <c r="T38" s="37">
        <f t="shared" si="2"/>
        <v>24</v>
      </c>
      <c r="U38" s="40">
        <f t="shared" si="3"/>
        <v>6.458333333333334E-2</v>
      </c>
      <c r="V38" s="39">
        <f t="shared" si="4"/>
        <v>2</v>
      </c>
      <c r="W38" s="37">
        <f t="shared" si="5"/>
        <v>0.82222222222222219</v>
      </c>
      <c r="X38" s="40">
        <f t="shared" si="6"/>
        <v>0.17777777777777781</v>
      </c>
      <c r="Y38" s="39">
        <f t="shared" si="7"/>
        <v>6.5953654188948316E-2</v>
      </c>
      <c r="Z38" s="37">
        <f t="shared" si="28"/>
        <v>9.7560160427807491E-2</v>
      </c>
      <c r="AA38" s="37">
        <f t="shared" si="29"/>
        <v>6.7331250690280467E-2</v>
      </c>
      <c r="AB38" s="37">
        <v>0</v>
      </c>
      <c r="AC38" s="37">
        <f t="shared" si="8"/>
        <v>4.9868470514691336E-3</v>
      </c>
      <c r="AD38" s="40">
        <f t="shared" si="19"/>
        <v>4.9868470514691336E-3</v>
      </c>
      <c r="AE38" s="39">
        <f t="shared" si="27"/>
        <v>5.3101851851851858E-2</v>
      </c>
      <c r="AF38" s="37">
        <f t="shared" si="20"/>
        <v>6.105360137200818E-2</v>
      </c>
      <c r="AG38" s="37">
        <f t="shared" si="9"/>
        <v>1.0437118273377824E-3</v>
      </c>
      <c r="AH38" s="37">
        <f t="shared" si="10"/>
        <v>0.10378756215099826</v>
      </c>
      <c r="AI38" s="40">
        <f t="shared" si="21"/>
        <v>0.10483127397833604</v>
      </c>
      <c r="AJ38" s="39">
        <f t="shared" si="22"/>
        <v>1.1481481481481485E-2</v>
      </c>
      <c r="AK38" s="37">
        <f t="shared" si="11"/>
        <v>2.8389347985209427E-2</v>
      </c>
      <c r="AL38" s="37">
        <f t="shared" si="12"/>
        <v>8.2666666666666687E-3</v>
      </c>
      <c r="AM38" s="37">
        <f t="shared" si="13"/>
        <v>0.59752000000000005</v>
      </c>
      <c r="AN38" s="40">
        <f t="shared" si="23"/>
        <v>0.6057866666666667</v>
      </c>
      <c r="AO38" s="39">
        <f t="shared" si="14"/>
        <v>4.4730506885904949E-4</v>
      </c>
      <c r="AP38" s="37">
        <f t="shared" si="15"/>
        <v>4.5441000000000002E-2</v>
      </c>
      <c r="AQ38" s="40">
        <f t="shared" si="16"/>
        <v>1.0800000000000001E-2</v>
      </c>
      <c r="AR38" s="39">
        <f t="shared" si="24"/>
        <v>0.77229309276533087</v>
      </c>
      <c r="AS38" s="37">
        <f t="shared" si="25"/>
        <v>1.3950000000000002</v>
      </c>
      <c r="AT38" s="40">
        <f t="shared" si="26"/>
        <v>64.366005901862906</v>
      </c>
    </row>
    <row r="39" spans="17:46" x14ac:dyDescent="0.25">
      <c r="Q39">
        <v>32</v>
      </c>
      <c r="R39" s="39">
        <f t="shared" si="0"/>
        <v>135</v>
      </c>
      <c r="S39" s="37">
        <f t="shared" ref="S39:S70" si="30">Q39*$O$12</f>
        <v>1.0666666666666668E-2</v>
      </c>
      <c r="T39" s="37">
        <f t="shared" si="2"/>
        <v>24</v>
      </c>
      <c r="U39" s="40">
        <f t="shared" ref="U39:U70" si="31">(R39*S39)/(T39*EFF_est)</f>
        <v>6.6666666666666666E-2</v>
      </c>
      <c r="V39" s="39">
        <f t="shared" ref="V39:V70" si="32">IF((S39*R39/T39)&lt;((T39*(1-(T39/R39)))/(2*Lm*Fsw)),1,2)</f>
        <v>2</v>
      </c>
      <c r="W39" s="37">
        <f t="shared" ref="W39:W70" si="33">CHOOSE(V39,SQRT((2*S39*Lm*Fsw*(R39-T39))/((T39)^2)),1-(T39/R39))</f>
        <v>0.82222222222222219</v>
      </c>
      <c r="X39" s="40">
        <f t="shared" ref="X39:X70" si="34">CHOOSE(V39,(Lm*W39*Fsw)/(R39-T39),1-W39)</f>
        <v>0.17777777777777781</v>
      </c>
      <c r="Y39" s="39">
        <f t="shared" ref="Y39:Y70" si="35">(T39*W39)/(Lm*Fsw)</f>
        <v>6.5953654188948316E-2</v>
      </c>
      <c r="Z39" s="37">
        <f t="shared" si="28"/>
        <v>9.9643493761140817E-2</v>
      </c>
      <c r="AA39" s="37">
        <f t="shared" si="29"/>
        <v>6.9332061988068641E-2</v>
      </c>
      <c r="AB39" s="37">
        <v>0</v>
      </c>
      <c r="AC39" s="37">
        <f t="shared" ref="AC39:AC70" si="36">(AA39^2)*Rdcr</f>
        <v>5.2876283014691326E-3</v>
      </c>
      <c r="AD39" s="40">
        <f t="shared" si="19"/>
        <v>5.2876283014691326E-3</v>
      </c>
      <c r="AE39" s="39">
        <f t="shared" si="27"/>
        <v>5.4814814814814809E-2</v>
      </c>
      <c r="AF39" s="37">
        <f t="shared" si="20"/>
        <v>6.2867866429368882E-2</v>
      </c>
      <c r="AG39" s="37">
        <f t="shared" ref="AG39:AG70" si="37">(AF39^2)*RDS_on</f>
        <v>1.1066632162266708E-3</v>
      </c>
      <c r="AH39" s="37">
        <f t="shared" ref="AH39:AH70" si="38">((R39*U39)/2)*Fsw*(tr_sw+tf_sw)</f>
        <v>0.1071355480268369</v>
      </c>
      <c r="AI39" s="40">
        <f t="shared" si="21"/>
        <v>0.10824221124306357</v>
      </c>
      <c r="AJ39" s="39">
        <f t="shared" si="22"/>
        <v>1.1851851851851855E-2</v>
      </c>
      <c r="AK39" s="37">
        <f t="shared" ref="AK39:AK70" si="39">CHOOSE(V39,Z39*SQRT(X39/3),SQRT(X39*((Z39^2)+((Y39^2)/3)-(Y39*Z39))))</f>
        <v>2.9232964101103834E-2</v>
      </c>
      <c r="AL39" s="37">
        <f t="shared" ref="AL39:AL70" si="40">S39*Vd_rect</f>
        <v>8.5333333333333355E-3</v>
      </c>
      <c r="AM39" s="37">
        <f t="shared" ref="AM39:AM70" si="41">CHOOSE(V39,(R39+Vd_rect)*Qrr*Fsw,(R39+Vd_rect)*Qrr*Fsw)</f>
        <v>0.59752000000000005</v>
      </c>
      <c r="AN39" s="40">
        <f t="shared" si="23"/>
        <v>0.60605333333333333</v>
      </c>
      <c r="AO39" s="39">
        <f t="shared" ref="AO39:AO70" si="42">(AF39^2)*R_cs</f>
        <v>4.7428423552571601E-4</v>
      </c>
      <c r="AP39" s="37">
        <f t="shared" ref="AP39:AP70" si="43">Qg_tot*Vcc*Fsw</f>
        <v>4.5441000000000002E-2</v>
      </c>
      <c r="AQ39" s="40">
        <f t="shared" ref="AQ39:AQ70" si="44">IQ*T39</f>
        <v>1.0800000000000001E-2</v>
      </c>
      <c r="AR39" s="39">
        <f t="shared" si="24"/>
        <v>0.77629845711339174</v>
      </c>
      <c r="AS39" s="37">
        <f t="shared" si="25"/>
        <v>1.4400000000000002</v>
      </c>
      <c r="AT39" s="40">
        <f t="shared" si="26"/>
        <v>64.973198685321549</v>
      </c>
    </row>
    <row r="40" spans="17:46" x14ac:dyDescent="0.25">
      <c r="Q40">
        <v>33</v>
      </c>
      <c r="R40" s="39">
        <f t="shared" si="0"/>
        <v>135</v>
      </c>
      <c r="S40" s="37">
        <f t="shared" si="30"/>
        <v>1.1000000000000001E-2</v>
      </c>
      <c r="T40" s="37">
        <f t="shared" si="2"/>
        <v>24</v>
      </c>
      <c r="U40" s="40">
        <f t="shared" si="31"/>
        <v>6.8750000000000006E-2</v>
      </c>
      <c r="V40" s="39">
        <f t="shared" si="32"/>
        <v>2</v>
      </c>
      <c r="W40" s="37">
        <f t="shared" si="33"/>
        <v>0.82222222222222219</v>
      </c>
      <c r="X40" s="40">
        <f t="shared" si="34"/>
        <v>0.17777777777777781</v>
      </c>
      <c r="Y40" s="39">
        <f t="shared" si="35"/>
        <v>6.5953654188948316E-2</v>
      </c>
      <c r="Z40" s="37">
        <f t="shared" si="28"/>
        <v>0.10172682709447417</v>
      </c>
      <c r="AA40" s="37">
        <f t="shared" si="29"/>
        <v>7.1337597906524358E-2</v>
      </c>
      <c r="AB40" s="37">
        <v>0</v>
      </c>
      <c r="AC40" s="37">
        <f t="shared" si="36"/>
        <v>5.5979581625802436E-3</v>
      </c>
      <c r="AD40" s="40">
        <f t="shared" si="19"/>
        <v>5.5979581625802436E-3</v>
      </c>
      <c r="AE40" s="39">
        <f t="shared" si="27"/>
        <v>5.6527777777777781E-2</v>
      </c>
      <c r="AF40" s="37">
        <f t="shared" si="20"/>
        <v>6.4686415605974573E-2</v>
      </c>
      <c r="AG40" s="37">
        <f t="shared" si="37"/>
        <v>1.1716130619056839E-3</v>
      </c>
      <c r="AH40" s="37">
        <f t="shared" si="38"/>
        <v>0.11048353390267557</v>
      </c>
      <c r="AI40" s="40">
        <f t="shared" si="21"/>
        <v>0.11165514696458126</v>
      </c>
      <c r="AJ40" s="39">
        <f t="shared" si="22"/>
        <v>1.2222222222222226E-2</v>
      </c>
      <c r="AK40" s="37">
        <f t="shared" si="39"/>
        <v>3.0078572291983546E-2</v>
      </c>
      <c r="AL40" s="37">
        <f t="shared" si="40"/>
        <v>8.8000000000000005E-3</v>
      </c>
      <c r="AM40" s="37">
        <f t="shared" si="41"/>
        <v>0.59752000000000005</v>
      </c>
      <c r="AN40" s="40">
        <f t="shared" si="23"/>
        <v>0.60632000000000008</v>
      </c>
      <c r="AO40" s="39">
        <f t="shared" si="42"/>
        <v>5.0211988367386453E-4</v>
      </c>
      <c r="AP40" s="37">
        <f t="shared" si="43"/>
        <v>4.5441000000000002E-2</v>
      </c>
      <c r="AQ40" s="40">
        <f t="shared" si="44"/>
        <v>1.0800000000000001E-2</v>
      </c>
      <c r="AR40" s="39">
        <f t="shared" si="24"/>
        <v>0.78031622501083542</v>
      </c>
      <c r="AS40" s="37">
        <f t="shared" si="25"/>
        <v>1.4850000000000001</v>
      </c>
      <c r="AT40" s="40">
        <f t="shared" si="26"/>
        <v>65.553761704633402</v>
      </c>
    </row>
    <row r="41" spans="17:46" x14ac:dyDescent="0.25">
      <c r="Q41">
        <v>34</v>
      </c>
      <c r="R41" s="39">
        <f t="shared" si="0"/>
        <v>135</v>
      </c>
      <c r="S41" s="37">
        <f t="shared" si="30"/>
        <v>1.1333333333333334E-2</v>
      </c>
      <c r="T41" s="37">
        <f t="shared" si="2"/>
        <v>24</v>
      </c>
      <c r="U41" s="40">
        <f t="shared" si="31"/>
        <v>7.0833333333333331E-2</v>
      </c>
      <c r="V41" s="39">
        <f t="shared" si="32"/>
        <v>2</v>
      </c>
      <c r="W41" s="37">
        <f t="shared" si="33"/>
        <v>0.82222222222222219</v>
      </c>
      <c r="X41" s="40">
        <f t="shared" si="34"/>
        <v>0.17777777777777781</v>
      </c>
      <c r="Y41" s="39">
        <f t="shared" si="35"/>
        <v>6.5953654188948316E-2</v>
      </c>
      <c r="Z41" s="37">
        <f t="shared" si="28"/>
        <v>0.1038101604278075</v>
      </c>
      <c r="AA41" s="37">
        <f t="shared" si="29"/>
        <v>7.3347470891531485E-2</v>
      </c>
      <c r="AB41" s="37">
        <v>0</v>
      </c>
      <c r="AC41" s="37">
        <f t="shared" si="36"/>
        <v>5.917836634802465E-3</v>
      </c>
      <c r="AD41" s="40">
        <f t="shared" si="19"/>
        <v>5.917836634802465E-3</v>
      </c>
      <c r="AE41" s="39">
        <f t="shared" si="27"/>
        <v>5.8240740740740739E-2</v>
      </c>
      <c r="AF41" s="37">
        <f t="shared" si="20"/>
        <v>6.6508897481433127E-2</v>
      </c>
      <c r="AG41" s="37">
        <f t="shared" si="37"/>
        <v>1.2385613643748189E-3</v>
      </c>
      <c r="AH41" s="37">
        <f t="shared" si="38"/>
        <v>0.11383151977851422</v>
      </c>
      <c r="AI41" s="40">
        <f t="shared" si="21"/>
        <v>0.11507008114288904</v>
      </c>
      <c r="AJ41" s="39">
        <f t="shared" si="22"/>
        <v>1.2592592592592594E-2</v>
      </c>
      <c r="AK41" s="37">
        <f t="shared" si="39"/>
        <v>3.0926009150685406E-2</v>
      </c>
      <c r="AL41" s="37">
        <f t="shared" si="40"/>
        <v>9.0666666666666673E-3</v>
      </c>
      <c r="AM41" s="37">
        <f t="shared" si="41"/>
        <v>0.59752000000000005</v>
      </c>
      <c r="AN41" s="40">
        <f t="shared" si="23"/>
        <v>0.60658666666666672</v>
      </c>
      <c r="AO41" s="39">
        <f t="shared" si="42"/>
        <v>5.308120133034938E-4</v>
      </c>
      <c r="AP41" s="37">
        <f t="shared" si="43"/>
        <v>4.5441000000000002E-2</v>
      </c>
      <c r="AQ41" s="40">
        <f t="shared" si="44"/>
        <v>1.0800000000000001E-2</v>
      </c>
      <c r="AR41" s="39">
        <f t="shared" si="24"/>
        <v>0.7843463964576618</v>
      </c>
      <c r="AS41" s="37">
        <f t="shared" si="25"/>
        <v>1.53</v>
      </c>
      <c r="AT41" s="40">
        <f t="shared" si="26"/>
        <v>66.109377677508334</v>
      </c>
    </row>
    <row r="42" spans="17:46" x14ac:dyDescent="0.25">
      <c r="Q42">
        <v>35</v>
      </c>
      <c r="R42" s="39">
        <f t="shared" si="0"/>
        <v>135</v>
      </c>
      <c r="S42" s="37">
        <f t="shared" si="30"/>
        <v>1.1666666666666669E-2</v>
      </c>
      <c r="T42" s="37">
        <f t="shared" si="2"/>
        <v>24</v>
      </c>
      <c r="U42" s="40">
        <f t="shared" si="31"/>
        <v>7.2916666666666685E-2</v>
      </c>
      <c r="V42" s="39">
        <f t="shared" si="32"/>
        <v>2</v>
      </c>
      <c r="W42" s="37">
        <f t="shared" si="33"/>
        <v>0.82222222222222219</v>
      </c>
      <c r="X42" s="40">
        <f t="shared" si="34"/>
        <v>0.17777777777777781</v>
      </c>
      <c r="Y42" s="39">
        <f t="shared" si="35"/>
        <v>6.5953654188948316E-2</v>
      </c>
      <c r="Z42" s="37">
        <f t="shared" si="28"/>
        <v>0.10589349376114085</v>
      </c>
      <c r="AA42" s="37">
        <f t="shared" si="29"/>
        <v>7.5361333937575242E-2</v>
      </c>
      <c r="AB42" s="37">
        <v>0</v>
      </c>
      <c r="AC42" s="37">
        <f t="shared" si="36"/>
        <v>6.2472637181358037E-3</v>
      </c>
      <c r="AD42" s="40">
        <f t="shared" si="19"/>
        <v>6.2472637181358037E-3</v>
      </c>
      <c r="AE42" s="39">
        <f t="shared" si="27"/>
        <v>5.9953703703703717E-2</v>
      </c>
      <c r="AF42" s="37">
        <f t="shared" si="20"/>
        <v>6.8334997403392869E-2</v>
      </c>
      <c r="AG42" s="37">
        <f t="shared" si="37"/>
        <v>1.3075081236340789E-3</v>
      </c>
      <c r="AH42" s="37">
        <f t="shared" si="38"/>
        <v>0.11717950565435289</v>
      </c>
      <c r="AI42" s="40">
        <f t="shared" si="21"/>
        <v>0.11848701377798697</v>
      </c>
      <c r="AJ42" s="39">
        <f t="shared" si="22"/>
        <v>1.296296296296297E-2</v>
      </c>
      <c r="AK42" s="37">
        <f t="shared" si="39"/>
        <v>3.1775128366837775E-2</v>
      </c>
      <c r="AL42" s="37">
        <f t="shared" si="40"/>
        <v>9.3333333333333358E-3</v>
      </c>
      <c r="AM42" s="37">
        <f t="shared" si="41"/>
        <v>0.59752000000000005</v>
      </c>
      <c r="AN42" s="40">
        <f t="shared" si="23"/>
        <v>0.60685333333333336</v>
      </c>
      <c r="AO42" s="39">
        <f t="shared" si="42"/>
        <v>5.6036062441460518E-4</v>
      </c>
      <c r="AP42" s="37">
        <f t="shared" si="43"/>
        <v>4.5441000000000002E-2</v>
      </c>
      <c r="AQ42" s="40">
        <f t="shared" si="44"/>
        <v>1.0800000000000001E-2</v>
      </c>
      <c r="AR42" s="39">
        <f t="shared" si="24"/>
        <v>0.78838897145387066</v>
      </c>
      <c r="AS42" s="37">
        <f t="shared" si="25"/>
        <v>1.5750000000000004</v>
      </c>
      <c r="AT42" s="40">
        <f t="shared" si="26"/>
        <v>66.641590488218171</v>
      </c>
    </row>
    <row r="43" spans="17:46" x14ac:dyDescent="0.25">
      <c r="Q43">
        <v>36</v>
      </c>
      <c r="R43" s="39">
        <f t="shared" si="0"/>
        <v>135</v>
      </c>
      <c r="S43" s="37">
        <f t="shared" si="30"/>
        <v>1.2000000000000002E-2</v>
      </c>
      <c r="T43" s="37">
        <f t="shared" si="2"/>
        <v>24</v>
      </c>
      <c r="U43" s="40">
        <f t="shared" si="31"/>
        <v>7.5000000000000011E-2</v>
      </c>
      <c r="V43" s="39">
        <f t="shared" si="32"/>
        <v>2</v>
      </c>
      <c r="W43" s="37">
        <f t="shared" si="33"/>
        <v>0.82222222222222219</v>
      </c>
      <c r="X43" s="40">
        <f t="shared" si="34"/>
        <v>0.17777777777777781</v>
      </c>
      <c r="Y43" s="39">
        <f t="shared" si="35"/>
        <v>6.5953654188948316E-2</v>
      </c>
      <c r="Z43" s="37">
        <f t="shared" si="28"/>
        <v>0.10797682709447418</v>
      </c>
      <c r="AA43" s="37">
        <f t="shared" si="29"/>
        <v>7.7378875509230227E-2</v>
      </c>
      <c r="AB43" s="37">
        <v>0</v>
      </c>
      <c r="AC43" s="37">
        <f t="shared" si="36"/>
        <v>6.586239412580245E-3</v>
      </c>
      <c r="AD43" s="40">
        <f t="shared" si="19"/>
        <v>6.586239412580245E-3</v>
      </c>
      <c r="AE43" s="39">
        <f t="shared" si="27"/>
        <v>6.1666666666666675E-2</v>
      </c>
      <c r="AF43" s="37">
        <f t="shared" si="20"/>
        <v>7.0164432882527092E-2</v>
      </c>
      <c r="AG43" s="37">
        <f t="shared" si="37"/>
        <v>1.3784533396834619E-3</v>
      </c>
      <c r="AH43" s="37">
        <f t="shared" si="38"/>
        <v>0.12052749153019154</v>
      </c>
      <c r="AI43" s="40">
        <f t="shared" si="21"/>
        <v>0.12190594486987501</v>
      </c>
      <c r="AJ43" s="39">
        <f t="shared" si="22"/>
        <v>1.3333333333333338E-2</v>
      </c>
      <c r="AK43" s="37">
        <f t="shared" si="39"/>
        <v>3.2625798585571859E-2</v>
      </c>
      <c r="AL43" s="37">
        <f t="shared" si="40"/>
        <v>9.6000000000000026E-3</v>
      </c>
      <c r="AM43" s="37">
        <f t="shared" si="41"/>
        <v>0.59752000000000005</v>
      </c>
      <c r="AN43" s="40">
        <f t="shared" si="23"/>
        <v>0.6071200000000001</v>
      </c>
      <c r="AO43" s="39">
        <f t="shared" si="42"/>
        <v>5.907657170071979E-4</v>
      </c>
      <c r="AP43" s="37">
        <f t="shared" si="43"/>
        <v>4.5441000000000002E-2</v>
      </c>
      <c r="AQ43" s="40">
        <f t="shared" si="44"/>
        <v>1.0800000000000001E-2</v>
      </c>
      <c r="AR43" s="39">
        <f t="shared" si="24"/>
        <v>0.79244394999946266</v>
      </c>
      <c r="AS43" s="37">
        <f t="shared" si="25"/>
        <v>1.6200000000000003</v>
      </c>
      <c r="AT43" s="40">
        <f t="shared" si="26"/>
        <v>67.151819216374378</v>
      </c>
    </row>
    <row r="44" spans="17:46" x14ac:dyDescent="0.25">
      <c r="Q44">
        <v>37</v>
      </c>
      <c r="R44" s="39">
        <f t="shared" si="0"/>
        <v>135</v>
      </c>
      <c r="S44" s="37">
        <f t="shared" si="30"/>
        <v>1.2333333333333335E-2</v>
      </c>
      <c r="T44" s="37">
        <f t="shared" si="2"/>
        <v>24</v>
      </c>
      <c r="U44" s="40">
        <f t="shared" si="31"/>
        <v>7.7083333333333337E-2</v>
      </c>
      <c r="V44" s="39">
        <f t="shared" si="32"/>
        <v>2</v>
      </c>
      <c r="W44" s="37">
        <f t="shared" si="33"/>
        <v>0.82222222222222219</v>
      </c>
      <c r="X44" s="40">
        <f t="shared" si="34"/>
        <v>0.17777777777777781</v>
      </c>
      <c r="Y44" s="39">
        <f t="shared" si="35"/>
        <v>6.5953654188948316E-2</v>
      </c>
      <c r="Z44" s="37">
        <f t="shared" si="28"/>
        <v>0.1100601604278075</v>
      </c>
      <c r="AA44" s="37">
        <f t="shared" si="29"/>
        <v>7.9399815194059031E-2</v>
      </c>
      <c r="AB44" s="37">
        <v>0</v>
      </c>
      <c r="AC44" s="37">
        <f t="shared" si="36"/>
        <v>6.9347637181358009E-3</v>
      </c>
      <c r="AD44" s="40">
        <f t="shared" si="19"/>
        <v>6.9347637181358009E-3</v>
      </c>
      <c r="AE44" s="39">
        <f t="shared" si="27"/>
        <v>6.3379629629629633E-2</v>
      </c>
      <c r="AF44" s="37">
        <f t="shared" si="20"/>
        <v>7.1996949650735886E-2</v>
      </c>
      <c r="AG44" s="37">
        <f t="shared" si="37"/>
        <v>1.4513970125229678E-3</v>
      </c>
      <c r="AH44" s="37">
        <f t="shared" si="38"/>
        <v>0.12387547740603018</v>
      </c>
      <c r="AI44" s="40">
        <f t="shared" si="21"/>
        <v>0.12532687441855314</v>
      </c>
      <c r="AJ44" s="39">
        <f t="shared" si="22"/>
        <v>1.3703703703703708E-2</v>
      </c>
      <c r="AK44" s="37">
        <f t="shared" si="39"/>
        <v>3.347790157462277E-2</v>
      </c>
      <c r="AL44" s="37">
        <f t="shared" si="40"/>
        <v>9.8666666666666694E-3</v>
      </c>
      <c r="AM44" s="37">
        <f t="shared" si="41"/>
        <v>0.59752000000000005</v>
      </c>
      <c r="AN44" s="40">
        <f t="shared" si="23"/>
        <v>0.60738666666666674</v>
      </c>
      <c r="AO44" s="39">
        <f t="shared" si="42"/>
        <v>6.2202729108127176E-4</v>
      </c>
      <c r="AP44" s="37">
        <f t="shared" si="43"/>
        <v>4.5441000000000002E-2</v>
      </c>
      <c r="AQ44" s="40">
        <f t="shared" si="44"/>
        <v>1.0800000000000001E-2</v>
      </c>
      <c r="AR44" s="39">
        <f t="shared" si="24"/>
        <v>0.79651133209443703</v>
      </c>
      <c r="AS44" s="37">
        <f t="shared" si="25"/>
        <v>1.6650000000000003</v>
      </c>
      <c r="AT44" s="40">
        <f t="shared" si="26"/>
        <v>67.641370498314728</v>
      </c>
    </row>
    <row r="45" spans="17:46" x14ac:dyDescent="0.25">
      <c r="Q45">
        <v>38</v>
      </c>
      <c r="R45" s="39">
        <f t="shared" si="0"/>
        <v>135</v>
      </c>
      <c r="S45" s="37">
        <f t="shared" si="30"/>
        <v>1.2666666666666668E-2</v>
      </c>
      <c r="T45" s="37">
        <f t="shared" si="2"/>
        <v>24</v>
      </c>
      <c r="U45" s="40">
        <f t="shared" si="31"/>
        <v>7.9166666666666677E-2</v>
      </c>
      <c r="V45" s="39">
        <f t="shared" si="32"/>
        <v>2</v>
      </c>
      <c r="W45" s="37">
        <f t="shared" si="33"/>
        <v>0.82222222222222219</v>
      </c>
      <c r="X45" s="40">
        <f t="shared" si="34"/>
        <v>0.17777777777777781</v>
      </c>
      <c r="Y45" s="39">
        <f t="shared" si="35"/>
        <v>6.5953654188948316E-2</v>
      </c>
      <c r="Z45" s="37">
        <f t="shared" si="28"/>
        <v>0.11214349376114083</v>
      </c>
      <c r="AA45" s="37">
        <f t="shared" si="29"/>
        <v>8.1423899969137195E-2</v>
      </c>
      <c r="AB45" s="37">
        <v>0</v>
      </c>
      <c r="AC45" s="37">
        <f t="shared" si="36"/>
        <v>7.2928366348024663E-3</v>
      </c>
      <c r="AD45" s="40">
        <f t="shared" si="19"/>
        <v>7.2928366348024663E-3</v>
      </c>
      <c r="AE45" s="39">
        <f t="shared" si="27"/>
        <v>6.5092592592592605E-2</v>
      </c>
      <c r="AF45" s="37">
        <f t="shared" si="20"/>
        <v>7.3832318275762948E-2</v>
      </c>
      <c r="AG45" s="37">
        <f t="shared" si="37"/>
        <v>1.5263391421525968E-3</v>
      </c>
      <c r="AH45" s="37">
        <f t="shared" si="38"/>
        <v>0.12722346328186884</v>
      </c>
      <c r="AI45" s="40">
        <f t="shared" si="21"/>
        <v>0.12874980242402145</v>
      </c>
      <c r="AJ45" s="39">
        <f t="shared" si="22"/>
        <v>1.4074074074074079E-2</v>
      </c>
      <c r="AK45" s="37">
        <f t="shared" si="39"/>
        <v>3.4331330650158316E-2</v>
      </c>
      <c r="AL45" s="37">
        <f t="shared" si="40"/>
        <v>1.0133333333333334E-2</v>
      </c>
      <c r="AM45" s="37">
        <f t="shared" si="41"/>
        <v>0.59752000000000005</v>
      </c>
      <c r="AN45" s="40">
        <f t="shared" si="23"/>
        <v>0.60765333333333338</v>
      </c>
      <c r="AO45" s="39">
        <f t="shared" si="42"/>
        <v>6.5414534663682706E-4</v>
      </c>
      <c r="AP45" s="37">
        <f t="shared" si="43"/>
        <v>4.5441000000000002E-2</v>
      </c>
      <c r="AQ45" s="40">
        <f t="shared" si="44"/>
        <v>1.0800000000000001E-2</v>
      </c>
      <c r="AR45" s="39">
        <f t="shared" si="24"/>
        <v>0.80059111773879421</v>
      </c>
      <c r="AS45" s="37">
        <f t="shared" si="25"/>
        <v>1.7100000000000002</v>
      </c>
      <c r="AT45" s="40">
        <f t="shared" si="26"/>
        <v>68.111449447815303</v>
      </c>
    </row>
    <row r="46" spans="17:46" x14ac:dyDescent="0.25">
      <c r="Q46">
        <v>39</v>
      </c>
      <c r="R46" s="39">
        <f t="shared" si="0"/>
        <v>135</v>
      </c>
      <c r="S46" s="37">
        <f t="shared" si="30"/>
        <v>1.3000000000000001E-2</v>
      </c>
      <c r="T46" s="37">
        <f t="shared" si="2"/>
        <v>24</v>
      </c>
      <c r="U46" s="40">
        <f t="shared" si="31"/>
        <v>8.1250000000000003E-2</v>
      </c>
      <c r="V46" s="39">
        <f t="shared" si="32"/>
        <v>2</v>
      </c>
      <c r="W46" s="37">
        <f t="shared" si="33"/>
        <v>0.82222222222222219</v>
      </c>
      <c r="X46" s="40">
        <f t="shared" si="34"/>
        <v>0.17777777777777781</v>
      </c>
      <c r="Y46" s="39">
        <f t="shared" si="35"/>
        <v>6.5953654188948316E-2</v>
      </c>
      <c r="Z46" s="37">
        <f t="shared" si="28"/>
        <v>0.11422682709447415</v>
      </c>
      <c r="AA46" s="37">
        <f t="shared" si="29"/>
        <v>8.3450900984189197E-2</v>
      </c>
      <c r="AB46" s="37">
        <v>0</v>
      </c>
      <c r="AC46" s="37">
        <f t="shared" si="36"/>
        <v>7.6604581625802446E-3</v>
      </c>
      <c r="AD46" s="40">
        <f t="shared" si="19"/>
        <v>7.6604581625802446E-3</v>
      </c>
      <c r="AE46" s="39">
        <f t="shared" si="27"/>
        <v>6.6805555555555549E-2</v>
      </c>
      <c r="AF46" s="37">
        <f t="shared" si="20"/>
        <v>7.5670331244256719E-2</v>
      </c>
      <c r="AG46" s="37">
        <f t="shared" si="37"/>
        <v>1.6032797285723498E-3</v>
      </c>
      <c r="AH46" s="37">
        <f t="shared" si="38"/>
        <v>0.13057144915770749</v>
      </c>
      <c r="AI46" s="40">
        <f t="shared" si="21"/>
        <v>0.13217472888627985</v>
      </c>
      <c r="AJ46" s="39">
        <f t="shared" si="22"/>
        <v>1.4444444444444447E-2</v>
      </c>
      <c r="AK46" s="37">
        <f t="shared" si="39"/>
        <v>3.5185989320429989E-2</v>
      </c>
      <c r="AL46" s="37">
        <f t="shared" si="40"/>
        <v>1.0400000000000001E-2</v>
      </c>
      <c r="AM46" s="37">
        <f t="shared" si="41"/>
        <v>0.59752000000000005</v>
      </c>
      <c r="AN46" s="40">
        <f t="shared" si="23"/>
        <v>0.60792000000000002</v>
      </c>
      <c r="AO46" s="39">
        <f t="shared" si="42"/>
        <v>6.8711988367386404E-4</v>
      </c>
      <c r="AP46" s="37">
        <f t="shared" si="43"/>
        <v>4.5441000000000002E-2</v>
      </c>
      <c r="AQ46" s="40">
        <f t="shared" si="44"/>
        <v>1.0800000000000001E-2</v>
      </c>
      <c r="AR46" s="39">
        <f t="shared" si="24"/>
        <v>0.80468330693253398</v>
      </c>
      <c r="AS46" s="37">
        <f t="shared" si="25"/>
        <v>1.7550000000000001</v>
      </c>
      <c r="AT46" s="40">
        <f t="shared" si="26"/>
        <v>68.56316932828507</v>
      </c>
    </row>
    <row r="47" spans="17:46" x14ac:dyDescent="0.25">
      <c r="Q47">
        <v>40</v>
      </c>
      <c r="R47" s="39">
        <f t="shared" si="0"/>
        <v>135</v>
      </c>
      <c r="S47" s="37">
        <f t="shared" si="30"/>
        <v>1.3333333333333336E-2</v>
      </c>
      <c r="T47" s="37">
        <f t="shared" si="2"/>
        <v>24</v>
      </c>
      <c r="U47" s="40">
        <f t="shared" si="31"/>
        <v>8.3333333333333343E-2</v>
      </c>
      <c r="V47" s="39">
        <f t="shared" si="32"/>
        <v>2</v>
      </c>
      <c r="W47" s="37">
        <f t="shared" si="33"/>
        <v>0.82222222222222219</v>
      </c>
      <c r="X47" s="40">
        <f t="shared" si="34"/>
        <v>0.17777777777777781</v>
      </c>
      <c r="Y47" s="39">
        <f t="shared" si="35"/>
        <v>6.5953654188948316E-2</v>
      </c>
      <c r="Z47" s="37">
        <f t="shared" si="28"/>
        <v>0.11631016042780751</v>
      </c>
      <c r="AA47" s="37">
        <f t="shared" si="29"/>
        <v>8.5480610781143773E-2</v>
      </c>
      <c r="AB47" s="37">
        <v>0</v>
      </c>
      <c r="AC47" s="37">
        <f t="shared" si="36"/>
        <v>8.0376283014691342E-3</v>
      </c>
      <c r="AD47" s="40">
        <f t="shared" si="19"/>
        <v>8.0376283014691342E-3</v>
      </c>
      <c r="AE47" s="39">
        <f t="shared" si="27"/>
        <v>6.851851851851852E-2</v>
      </c>
      <c r="AF47" s="37">
        <f t="shared" si="20"/>
        <v>7.7510800440561356E-2</v>
      </c>
      <c r="AG47" s="37">
        <f t="shared" si="37"/>
        <v>1.6822187717822276E-3</v>
      </c>
      <c r="AH47" s="37">
        <f t="shared" si="38"/>
        <v>0.13391943503354617</v>
      </c>
      <c r="AI47" s="40">
        <f t="shared" si="21"/>
        <v>0.1356016538053284</v>
      </c>
      <c r="AJ47" s="39">
        <f t="shared" si="22"/>
        <v>1.4814814814814819E-2</v>
      </c>
      <c r="AK47" s="37">
        <f t="shared" si="39"/>
        <v>3.6041790113434585E-2</v>
      </c>
      <c r="AL47" s="37">
        <f t="shared" si="40"/>
        <v>1.066666666666667E-2</v>
      </c>
      <c r="AM47" s="37">
        <f t="shared" si="41"/>
        <v>0.59752000000000005</v>
      </c>
      <c r="AN47" s="40">
        <f t="shared" si="23"/>
        <v>0.60818666666666676</v>
      </c>
      <c r="AO47" s="39">
        <f t="shared" si="42"/>
        <v>7.2095090219238313E-4</v>
      </c>
      <c r="AP47" s="37">
        <f t="shared" si="43"/>
        <v>4.5441000000000002E-2</v>
      </c>
      <c r="AQ47" s="40">
        <f t="shared" si="44"/>
        <v>1.0800000000000001E-2</v>
      </c>
      <c r="AR47" s="39">
        <f t="shared" si="24"/>
        <v>0.80878789967565667</v>
      </c>
      <c r="AS47" s="37">
        <f t="shared" si="25"/>
        <v>1.8000000000000003</v>
      </c>
      <c r="AT47" s="40">
        <f t="shared" si="26"/>
        <v>68.997560139856091</v>
      </c>
    </row>
    <row r="48" spans="17:46" x14ac:dyDescent="0.25">
      <c r="Q48">
        <v>41</v>
      </c>
      <c r="R48" s="39">
        <f t="shared" si="0"/>
        <v>135</v>
      </c>
      <c r="S48" s="37">
        <f t="shared" si="30"/>
        <v>1.3666666666666669E-2</v>
      </c>
      <c r="T48" s="37">
        <f t="shared" si="2"/>
        <v>24</v>
      </c>
      <c r="U48" s="40">
        <f t="shared" si="31"/>
        <v>8.5416666666666682E-2</v>
      </c>
      <c r="V48" s="39">
        <f t="shared" si="32"/>
        <v>2</v>
      </c>
      <c r="W48" s="37">
        <f t="shared" si="33"/>
        <v>0.82222222222222219</v>
      </c>
      <c r="X48" s="40">
        <f t="shared" si="34"/>
        <v>0.17777777777777781</v>
      </c>
      <c r="Y48" s="39">
        <f t="shared" si="35"/>
        <v>6.5953654188948316E-2</v>
      </c>
      <c r="Z48" s="37">
        <f t="shared" si="28"/>
        <v>0.11839349376114083</v>
      </c>
      <c r="AA48" s="37">
        <f t="shared" si="29"/>
        <v>8.7512840883594886E-2</v>
      </c>
      <c r="AB48" s="37">
        <v>0</v>
      </c>
      <c r="AC48" s="37">
        <f t="shared" si="36"/>
        <v>8.4243470514691367E-3</v>
      </c>
      <c r="AD48" s="40">
        <f t="shared" si="19"/>
        <v>8.4243470514691367E-3</v>
      </c>
      <c r="AE48" s="39">
        <f t="shared" si="27"/>
        <v>7.0231481481481492E-2</v>
      </c>
      <c r="AF48" s="37">
        <f t="shared" si="20"/>
        <v>7.9353554960924874E-2</v>
      </c>
      <c r="AG48" s="37">
        <f t="shared" si="37"/>
        <v>1.7631562717822272E-3</v>
      </c>
      <c r="AH48" s="37">
        <f t="shared" si="38"/>
        <v>0.13726742090938482</v>
      </c>
      <c r="AI48" s="40">
        <f t="shared" si="21"/>
        <v>0.13903057718116704</v>
      </c>
      <c r="AJ48" s="39">
        <f t="shared" si="22"/>
        <v>1.518518518518519E-2</v>
      </c>
      <c r="AK48" s="37">
        <f t="shared" si="39"/>
        <v>3.6898653560541617E-2</v>
      </c>
      <c r="AL48" s="37">
        <f t="shared" si="40"/>
        <v>1.0933333333333337E-2</v>
      </c>
      <c r="AM48" s="37">
        <f t="shared" si="41"/>
        <v>0.59752000000000005</v>
      </c>
      <c r="AN48" s="40">
        <f t="shared" si="23"/>
        <v>0.6084533333333334</v>
      </c>
      <c r="AO48" s="39">
        <f t="shared" si="42"/>
        <v>7.5563840219238301E-4</v>
      </c>
      <c r="AP48" s="37">
        <f t="shared" si="43"/>
        <v>4.5441000000000002E-2</v>
      </c>
      <c r="AQ48" s="40">
        <f t="shared" si="44"/>
        <v>1.0800000000000001E-2</v>
      </c>
      <c r="AR48" s="39">
        <f t="shared" si="24"/>
        <v>0.81290489596816196</v>
      </c>
      <c r="AS48" s="37">
        <f t="shared" si="25"/>
        <v>1.8450000000000004</v>
      </c>
      <c r="AT48" s="40">
        <f t="shared" si="26"/>
        <v>69.4155762607881</v>
      </c>
    </row>
    <row r="49" spans="17:46" x14ac:dyDescent="0.25">
      <c r="Q49">
        <v>42</v>
      </c>
      <c r="R49" s="39">
        <f t="shared" si="0"/>
        <v>135</v>
      </c>
      <c r="S49" s="37">
        <f t="shared" si="30"/>
        <v>1.4000000000000002E-2</v>
      </c>
      <c r="T49" s="37">
        <f t="shared" si="2"/>
        <v>24</v>
      </c>
      <c r="U49" s="40">
        <f t="shared" si="31"/>
        <v>8.7500000000000008E-2</v>
      </c>
      <c r="V49" s="39">
        <f t="shared" si="32"/>
        <v>2</v>
      </c>
      <c r="W49" s="37">
        <f t="shared" si="33"/>
        <v>0.82222222222222219</v>
      </c>
      <c r="X49" s="40">
        <f t="shared" si="34"/>
        <v>0.17777777777777781</v>
      </c>
      <c r="Y49" s="39">
        <f t="shared" si="35"/>
        <v>6.5953654188948316E-2</v>
      </c>
      <c r="Z49" s="37">
        <f t="shared" si="28"/>
        <v>0.12047682709447416</v>
      </c>
      <c r="AA49" s="37">
        <f t="shared" si="29"/>
        <v>8.9547419700809636E-2</v>
      </c>
      <c r="AB49" s="37">
        <v>0</v>
      </c>
      <c r="AC49" s="37">
        <f t="shared" si="36"/>
        <v>8.8206144125802452E-3</v>
      </c>
      <c r="AD49" s="40">
        <f t="shared" si="19"/>
        <v>8.8206144125802452E-3</v>
      </c>
      <c r="AE49" s="39">
        <f t="shared" si="27"/>
        <v>7.194444444444445E-2</v>
      </c>
      <c r="AF49" s="37">
        <f t="shared" si="20"/>
        <v>8.1198439212927825E-2</v>
      </c>
      <c r="AG49" s="37">
        <f t="shared" si="37"/>
        <v>1.84609222857235E-3</v>
      </c>
      <c r="AH49" s="37">
        <f t="shared" si="38"/>
        <v>0.14061540678522347</v>
      </c>
      <c r="AI49" s="40">
        <f t="shared" si="21"/>
        <v>0.14246149901379582</v>
      </c>
      <c r="AJ49" s="39">
        <f t="shared" si="22"/>
        <v>1.555555555555556E-2</v>
      </c>
      <c r="AK49" s="37">
        <f t="shared" si="39"/>
        <v>3.7756507312745616E-2</v>
      </c>
      <c r="AL49" s="37">
        <f t="shared" si="40"/>
        <v>1.1200000000000002E-2</v>
      </c>
      <c r="AM49" s="37">
        <f t="shared" si="41"/>
        <v>0.59752000000000005</v>
      </c>
      <c r="AN49" s="40">
        <f t="shared" si="23"/>
        <v>0.60872000000000004</v>
      </c>
      <c r="AO49" s="39">
        <f t="shared" si="42"/>
        <v>7.9118238367386414E-4</v>
      </c>
      <c r="AP49" s="37">
        <f t="shared" si="43"/>
        <v>4.5441000000000002E-2</v>
      </c>
      <c r="AQ49" s="40">
        <f t="shared" si="44"/>
        <v>1.0800000000000001E-2</v>
      </c>
      <c r="AR49" s="39">
        <f t="shared" si="24"/>
        <v>0.81703429581004983</v>
      </c>
      <c r="AS49" s="37">
        <f t="shared" si="25"/>
        <v>1.8900000000000003</v>
      </c>
      <c r="AT49" s="40">
        <f t="shared" si="26"/>
        <v>69.818103262501836</v>
      </c>
    </row>
    <row r="50" spans="17:46" x14ac:dyDescent="0.25">
      <c r="Q50">
        <v>43</v>
      </c>
      <c r="R50" s="39">
        <f t="shared" si="0"/>
        <v>135</v>
      </c>
      <c r="S50" s="37">
        <f t="shared" si="30"/>
        <v>1.4333333333333335E-2</v>
      </c>
      <c r="T50" s="37">
        <f t="shared" si="2"/>
        <v>24</v>
      </c>
      <c r="U50" s="40">
        <f t="shared" si="31"/>
        <v>8.9583333333333334E-2</v>
      </c>
      <c r="V50" s="39">
        <f t="shared" si="32"/>
        <v>2</v>
      </c>
      <c r="W50" s="37">
        <f t="shared" si="33"/>
        <v>0.82222222222222219</v>
      </c>
      <c r="X50" s="40">
        <f t="shared" si="34"/>
        <v>0.17777777777777781</v>
      </c>
      <c r="Y50" s="39">
        <f t="shared" si="35"/>
        <v>6.5953654188948316E-2</v>
      </c>
      <c r="Z50" s="37">
        <f t="shared" si="28"/>
        <v>0.12256016042780749</v>
      </c>
      <c r="AA50" s="37">
        <f t="shared" si="29"/>
        <v>9.1584190700055107E-2</v>
      </c>
      <c r="AB50" s="37">
        <v>0</v>
      </c>
      <c r="AC50" s="37">
        <f t="shared" si="36"/>
        <v>9.2264303848024667E-3</v>
      </c>
      <c r="AD50" s="40">
        <f t="shared" si="19"/>
        <v>9.2264303848024667E-3</v>
      </c>
      <c r="AE50" s="39">
        <f t="shared" si="27"/>
        <v>7.3657407407407408E-2</v>
      </c>
      <c r="AF50" s="37">
        <f t="shared" si="20"/>
        <v>8.3045311258213475E-2</v>
      </c>
      <c r="AG50" s="37">
        <f t="shared" si="37"/>
        <v>1.9310266421525965E-3</v>
      </c>
      <c r="AH50" s="37">
        <f t="shared" si="38"/>
        <v>0.14396339266106209</v>
      </c>
      <c r="AI50" s="40">
        <f t="shared" si="21"/>
        <v>0.14589441930321467</v>
      </c>
      <c r="AJ50" s="39">
        <f t="shared" si="22"/>
        <v>1.592592592592593E-2</v>
      </c>
      <c r="AK50" s="37">
        <f t="shared" si="39"/>
        <v>3.8615285370051315E-2</v>
      </c>
      <c r="AL50" s="37">
        <f t="shared" si="40"/>
        <v>1.1466666666666668E-2</v>
      </c>
      <c r="AM50" s="37">
        <f t="shared" si="41"/>
        <v>0.59752000000000005</v>
      </c>
      <c r="AN50" s="40">
        <f t="shared" si="23"/>
        <v>0.60898666666666668</v>
      </c>
      <c r="AO50" s="39">
        <f t="shared" si="42"/>
        <v>8.2758284663682694E-4</v>
      </c>
      <c r="AP50" s="37">
        <f t="shared" si="43"/>
        <v>4.5441000000000002E-2</v>
      </c>
      <c r="AQ50" s="40">
        <f t="shared" si="44"/>
        <v>1.0800000000000001E-2</v>
      </c>
      <c r="AR50" s="39">
        <f t="shared" si="24"/>
        <v>0.82117609920132062</v>
      </c>
      <c r="AS50" s="37">
        <f t="shared" si="25"/>
        <v>1.9350000000000003</v>
      </c>
      <c r="AT50" s="40">
        <f t="shared" si="26"/>
        <v>70.205964000657303</v>
      </c>
    </row>
    <row r="51" spans="17:46" x14ac:dyDescent="0.25">
      <c r="Q51">
        <v>44</v>
      </c>
      <c r="R51" s="39">
        <f t="shared" si="0"/>
        <v>135</v>
      </c>
      <c r="S51" s="37">
        <f t="shared" si="30"/>
        <v>1.4666666666666668E-2</v>
      </c>
      <c r="T51" s="37">
        <f t="shared" si="2"/>
        <v>24</v>
      </c>
      <c r="U51" s="40">
        <f t="shared" si="31"/>
        <v>9.1666666666666674E-2</v>
      </c>
      <c r="V51" s="39">
        <f t="shared" si="32"/>
        <v>2</v>
      </c>
      <c r="W51" s="37">
        <f t="shared" si="33"/>
        <v>0.82222222222222219</v>
      </c>
      <c r="X51" s="40">
        <f t="shared" si="34"/>
        <v>0.17777777777777781</v>
      </c>
      <c r="Y51" s="39">
        <f t="shared" si="35"/>
        <v>6.5953654188948316E-2</v>
      </c>
      <c r="Z51" s="37">
        <f t="shared" si="28"/>
        <v>0.12464349376114084</v>
      </c>
      <c r="AA51" s="37">
        <f t="shared" si="29"/>
        <v>9.3623010808511861E-2</v>
      </c>
      <c r="AB51" s="37">
        <v>0</v>
      </c>
      <c r="AC51" s="37">
        <f t="shared" si="36"/>
        <v>9.6417949681358011E-3</v>
      </c>
      <c r="AD51" s="40">
        <f t="shared" si="19"/>
        <v>9.6417949681358011E-3</v>
      </c>
      <c r="AE51" s="39">
        <f t="shared" si="27"/>
        <v>7.5370370370370379E-2</v>
      </c>
      <c r="AF51" s="37">
        <f t="shared" si="20"/>
        <v>8.4894041363399592E-2</v>
      </c>
      <c r="AG51" s="37">
        <f t="shared" si="37"/>
        <v>2.0179595125229687E-3</v>
      </c>
      <c r="AH51" s="37">
        <f t="shared" si="38"/>
        <v>0.14731137853690077</v>
      </c>
      <c r="AI51" s="40">
        <f t="shared" si="21"/>
        <v>0.14932933804942375</v>
      </c>
      <c r="AJ51" s="39">
        <f t="shared" si="22"/>
        <v>1.6296296296296302E-2</v>
      </c>
      <c r="AK51" s="37">
        <f t="shared" si="39"/>
        <v>3.9474927407661307E-2</v>
      </c>
      <c r="AL51" s="37">
        <f t="shared" si="40"/>
        <v>1.1733333333333335E-2</v>
      </c>
      <c r="AM51" s="37">
        <f t="shared" si="41"/>
        <v>0.59752000000000005</v>
      </c>
      <c r="AN51" s="40">
        <f t="shared" si="23"/>
        <v>0.60925333333333342</v>
      </c>
      <c r="AO51" s="39">
        <f t="shared" si="42"/>
        <v>8.6483979108127216E-4</v>
      </c>
      <c r="AP51" s="37">
        <f t="shared" si="43"/>
        <v>4.5441000000000002E-2</v>
      </c>
      <c r="AQ51" s="40">
        <f t="shared" si="44"/>
        <v>1.0800000000000001E-2</v>
      </c>
      <c r="AR51" s="39">
        <f t="shared" si="24"/>
        <v>0.82533030614197422</v>
      </c>
      <c r="AS51" s="37">
        <f t="shared" si="25"/>
        <v>1.9800000000000002</v>
      </c>
      <c r="AT51" s="40">
        <f t="shared" si="26"/>
        <v>70.57992407043831</v>
      </c>
    </row>
    <row r="52" spans="17:46" x14ac:dyDescent="0.25">
      <c r="Q52">
        <v>45</v>
      </c>
      <c r="R52" s="39">
        <f t="shared" si="0"/>
        <v>135</v>
      </c>
      <c r="S52" s="37">
        <f t="shared" si="30"/>
        <v>1.5000000000000001E-2</v>
      </c>
      <c r="T52" s="37">
        <f t="shared" si="2"/>
        <v>24</v>
      </c>
      <c r="U52" s="40">
        <f t="shared" si="31"/>
        <v>9.3750000000000014E-2</v>
      </c>
      <c r="V52" s="39">
        <f t="shared" si="32"/>
        <v>2</v>
      </c>
      <c r="W52" s="37">
        <f t="shared" si="33"/>
        <v>0.82222222222222219</v>
      </c>
      <c r="X52" s="40">
        <f t="shared" si="34"/>
        <v>0.17777777777777781</v>
      </c>
      <c r="Y52" s="39">
        <f t="shared" si="35"/>
        <v>6.5953654188948316E-2</v>
      </c>
      <c r="Z52" s="37">
        <f t="shared" si="28"/>
        <v>0.12672682709447416</v>
      </c>
      <c r="AA52" s="37">
        <f t="shared" si="29"/>
        <v>9.5663749012219634E-2</v>
      </c>
      <c r="AB52" s="37">
        <v>0</v>
      </c>
      <c r="AC52" s="37">
        <f t="shared" si="36"/>
        <v>1.006670816258025E-2</v>
      </c>
      <c r="AD52" s="40">
        <f t="shared" si="19"/>
        <v>1.006670816258025E-2</v>
      </c>
      <c r="AE52" s="39">
        <f t="shared" si="27"/>
        <v>7.7083333333333337E-2</v>
      </c>
      <c r="AF52" s="37">
        <f t="shared" si="20"/>
        <v>8.6744510729651642E-2</v>
      </c>
      <c r="AG52" s="37">
        <f t="shared" si="37"/>
        <v>2.1068908396834618E-3</v>
      </c>
      <c r="AH52" s="37">
        <f t="shared" si="38"/>
        <v>0.15065936441273942</v>
      </c>
      <c r="AI52" s="40">
        <f t="shared" si="21"/>
        <v>0.15276625525242288</v>
      </c>
      <c r="AJ52" s="39">
        <f t="shared" si="22"/>
        <v>1.6666666666666673E-2</v>
      </c>
      <c r="AK52" s="37">
        <f t="shared" si="39"/>
        <v>4.0335378185239606E-2</v>
      </c>
      <c r="AL52" s="37">
        <f t="shared" si="40"/>
        <v>1.2000000000000002E-2</v>
      </c>
      <c r="AM52" s="37">
        <f t="shared" si="41"/>
        <v>0.59752000000000005</v>
      </c>
      <c r="AN52" s="40">
        <f t="shared" si="23"/>
        <v>0.60952000000000006</v>
      </c>
      <c r="AO52" s="39">
        <f t="shared" si="42"/>
        <v>9.0295321700719787E-4</v>
      </c>
      <c r="AP52" s="37">
        <f t="shared" si="43"/>
        <v>4.5441000000000002E-2</v>
      </c>
      <c r="AQ52" s="40">
        <f t="shared" si="44"/>
        <v>1.0800000000000001E-2</v>
      </c>
      <c r="AR52" s="39">
        <f t="shared" si="24"/>
        <v>0.82949691663201031</v>
      </c>
      <c r="AS52" s="37">
        <f t="shared" si="25"/>
        <v>2.0250000000000004</v>
      </c>
      <c r="AT52" s="40">
        <f t="shared" si="26"/>
        <v>70.940696702145175</v>
      </c>
    </row>
    <row r="53" spans="17:46" x14ac:dyDescent="0.25">
      <c r="Q53">
        <v>46</v>
      </c>
      <c r="R53" s="39">
        <f t="shared" si="0"/>
        <v>135</v>
      </c>
      <c r="S53" s="37">
        <f t="shared" si="30"/>
        <v>1.5333333333333336E-2</v>
      </c>
      <c r="T53" s="37">
        <f t="shared" si="2"/>
        <v>24</v>
      </c>
      <c r="U53" s="40">
        <f t="shared" si="31"/>
        <v>9.583333333333334E-2</v>
      </c>
      <c r="V53" s="39">
        <f t="shared" si="32"/>
        <v>2</v>
      </c>
      <c r="W53" s="37">
        <f t="shared" si="33"/>
        <v>0.82222222222222219</v>
      </c>
      <c r="X53" s="40">
        <f t="shared" si="34"/>
        <v>0.17777777777777781</v>
      </c>
      <c r="Y53" s="39">
        <f t="shared" si="35"/>
        <v>6.5953654188948316E-2</v>
      </c>
      <c r="Z53" s="37">
        <f t="shared" si="28"/>
        <v>0.12881016042780749</v>
      </c>
      <c r="AA53" s="37">
        <f t="shared" si="29"/>
        <v>9.7706285124605607E-2</v>
      </c>
      <c r="AB53" s="37">
        <v>0</v>
      </c>
      <c r="AC53" s="37">
        <f t="shared" si="36"/>
        <v>1.05011699681358E-2</v>
      </c>
      <c r="AD53" s="40">
        <f t="shared" si="19"/>
        <v>1.05011699681358E-2</v>
      </c>
      <c r="AE53" s="39">
        <f t="shared" si="27"/>
        <v>7.8796296296296295E-2</v>
      </c>
      <c r="AF53" s="37">
        <f t="shared" si="20"/>
        <v>8.8596610376027979E-2</v>
      </c>
      <c r="AG53" s="37">
        <f t="shared" si="37"/>
        <v>2.1978206236340785E-3</v>
      </c>
      <c r="AH53" s="37">
        <f t="shared" si="38"/>
        <v>0.15400735028857807</v>
      </c>
      <c r="AI53" s="40">
        <f t="shared" si="21"/>
        <v>0.15620517091221214</v>
      </c>
      <c r="AJ53" s="39">
        <f t="shared" si="22"/>
        <v>1.7037037037037042E-2</v>
      </c>
      <c r="AK53" s="37">
        <f t="shared" si="39"/>
        <v>4.1196587027677652E-2</v>
      </c>
      <c r="AL53" s="37">
        <f t="shared" si="40"/>
        <v>1.2266666666666669E-2</v>
      </c>
      <c r="AM53" s="37">
        <f t="shared" si="41"/>
        <v>0.59752000000000005</v>
      </c>
      <c r="AN53" s="40">
        <f t="shared" si="23"/>
        <v>0.6097866666666667</v>
      </c>
      <c r="AO53" s="39">
        <f t="shared" si="42"/>
        <v>9.4192312441460492E-4</v>
      </c>
      <c r="AP53" s="37">
        <f t="shared" si="43"/>
        <v>4.5441000000000002E-2</v>
      </c>
      <c r="AQ53" s="40">
        <f t="shared" si="44"/>
        <v>1.0800000000000001E-2</v>
      </c>
      <c r="AR53" s="39">
        <f t="shared" si="24"/>
        <v>0.83367593067142931</v>
      </c>
      <c r="AS53" s="37">
        <f t="shared" si="25"/>
        <v>2.0700000000000003</v>
      </c>
      <c r="AT53" s="40">
        <f t="shared" si="26"/>
        <v>71.288947162961989</v>
      </c>
    </row>
    <row r="54" spans="17:46" x14ac:dyDescent="0.25">
      <c r="Q54">
        <v>47</v>
      </c>
      <c r="R54" s="39">
        <f t="shared" si="0"/>
        <v>135</v>
      </c>
      <c r="S54" s="37">
        <f t="shared" si="30"/>
        <v>1.5666666666666669E-2</v>
      </c>
      <c r="T54" s="37">
        <f t="shared" si="2"/>
        <v>24</v>
      </c>
      <c r="U54" s="40">
        <f t="shared" si="31"/>
        <v>9.7916666666666666E-2</v>
      </c>
      <c r="V54" s="39">
        <f t="shared" si="32"/>
        <v>2</v>
      </c>
      <c r="W54" s="37">
        <f t="shared" si="33"/>
        <v>0.82222222222222219</v>
      </c>
      <c r="X54" s="40">
        <f t="shared" si="34"/>
        <v>0.17777777777777781</v>
      </c>
      <c r="Y54" s="39">
        <f t="shared" si="35"/>
        <v>6.5953654188948316E-2</v>
      </c>
      <c r="Z54" s="37">
        <f t="shared" si="28"/>
        <v>0.13089349376114082</v>
      </c>
      <c r="AA54" s="37">
        <f t="shared" si="29"/>
        <v>9.9750508701379859E-2</v>
      </c>
      <c r="AB54" s="37">
        <v>0</v>
      </c>
      <c r="AC54" s="37">
        <f t="shared" si="36"/>
        <v>1.0945180384802466E-2</v>
      </c>
      <c r="AD54" s="40">
        <f t="shared" si="19"/>
        <v>1.0945180384802466E-2</v>
      </c>
      <c r="AE54" s="39">
        <f t="shared" si="27"/>
        <v>8.0509259259259253E-2</v>
      </c>
      <c r="AF54" s="37">
        <f t="shared" si="20"/>
        <v>9.0450240155545092E-2</v>
      </c>
      <c r="AG54" s="37">
        <f t="shared" si="37"/>
        <v>2.2907488643748191E-3</v>
      </c>
      <c r="AH54" s="37">
        <f t="shared" si="38"/>
        <v>0.15735533616441671</v>
      </c>
      <c r="AI54" s="40">
        <f t="shared" si="21"/>
        <v>0.15964608502879155</v>
      </c>
      <c r="AJ54" s="39">
        <f t="shared" si="22"/>
        <v>1.740740740740741E-2</v>
      </c>
      <c r="AK54" s="37">
        <f t="shared" si="39"/>
        <v>4.2058507367574015E-2</v>
      </c>
      <c r="AL54" s="37">
        <f t="shared" si="40"/>
        <v>1.2533333333333336E-2</v>
      </c>
      <c r="AM54" s="37">
        <f t="shared" si="41"/>
        <v>0.59752000000000005</v>
      </c>
      <c r="AN54" s="40">
        <f t="shared" si="23"/>
        <v>0.61005333333333334</v>
      </c>
      <c r="AO54" s="39">
        <f t="shared" si="42"/>
        <v>9.8174951330349397E-4</v>
      </c>
      <c r="AP54" s="37">
        <f t="shared" si="43"/>
        <v>4.5441000000000002E-2</v>
      </c>
      <c r="AQ54" s="40">
        <f t="shared" si="44"/>
        <v>1.0800000000000001E-2</v>
      </c>
      <c r="AR54" s="39">
        <f t="shared" si="24"/>
        <v>0.83786734826023079</v>
      </c>
      <c r="AS54" s="37">
        <f t="shared" si="25"/>
        <v>2.1150000000000002</v>
      </c>
      <c r="AT54" s="40">
        <f t="shared" si="26"/>
        <v>71.625296722052724</v>
      </c>
    </row>
    <row r="55" spans="17:46" x14ac:dyDescent="0.25">
      <c r="Q55">
        <v>48</v>
      </c>
      <c r="R55" s="39">
        <f t="shared" si="0"/>
        <v>135</v>
      </c>
      <c r="S55" s="37">
        <f t="shared" si="30"/>
        <v>1.6E-2</v>
      </c>
      <c r="T55" s="37">
        <f t="shared" si="2"/>
        <v>24</v>
      </c>
      <c r="U55" s="40">
        <f t="shared" si="31"/>
        <v>0.1</v>
      </c>
      <c r="V55" s="39">
        <f t="shared" si="32"/>
        <v>2</v>
      </c>
      <c r="W55" s="37">
        <f t="shared" si="33"/>
        <v>0.82222222222222219</v>
      </c>
      <c r="X55" s="40">
        <f t="shared" si="34"/>
        <v>0.17777777777777781</v>
      </c>
      <c r="Y55" s="39">
        <f t="shared" si="35"/>
        <v>6.5953654188948316E-2</v>
      </c>
      <c r="Z55" s="37">
        <f t="shared" si="28"/>
        <v>0.13297682709447417</v>
      </c>
      <c r="AA55" s="37">
        <f t="shared" si="29"/>
        <v>0.10179631808210428</v>
      </c>
      <c r="AB55" s="37">
        <v>0</v>
      </c>
      <c r="AC55" s="37">
        <f t="shared" si="36"/>
        <v>1.1398739412580246E-2</v>
      </c>
      <c r="AD55" s="40">
        <f t="shared" si="19"/>
        <v>1.1398739412580246E-2</v>
      </c>
      <c r="AE55" s="39">
        <f t="shared" si="27"/>
        <v>8.2222222222222224E-2</v>
      </c>
      <c r="AF55" s="37">
        <f t="shared" si="20"/>
        <v>9.2305307886106261E-2</v>
      </c>
      <c r="AG55" s="37">
        <f t="shared" si="37"/>
        <v>2.3856755619056842E-3</v>
      </c>
      <c r="AH55" s="37">
        <f t="shared" si="38"/>
        <v>0.16070332204025536</v>
      </c>
      <c r="AI55" s="40">
        <f t="shared" si="21"/>
        <v>0.16308899760216106</v>
      </c>
      <c r="AJ55" s="39">
        <f t="shared" si="22"/>
        <v>1.7777777777777781E-2</v>
      </c>
      <c r="AK55" s="37">
        <f t="shared" si="39"/>
        <v>4.2921096341124378E-2</v>
      </c>
      <c r="AL55" s="37">
        <f t="shared" si="40"/>
        <v>1.2800000000000001E-2</v>
      </c>
      <c r="AM55" s="37">
        <f t="shared" si="41"/>
        <v>0.59752000000000005</v>
      </c>
      <c r="AN55" s="40">
        <f t="shared" si="23"/>
        <v>0.61032000000000008</v>
      </c>
      <c r="AO55" s="39">
        <f t="shared" si="42"/>
        <v>1.0224323836738646E-3</v>
      </c>
      <c r="AP55" s="37">
        <f t="shared" si="43"/>
        <v>4.5441000000000002E-2</v>
      </c>
      <c r="AQ55" s="40">
        <f t="shared" si="44"/>
        <v>1.0800000000000001E-2</v>
      </c>
      <c r="AR55" s="39">
        <f t="shared" si="24"/>
        <v>0.84207116939841531</v>
      </c>
      <c r="AS55" s="37">
        <f t="shared" si="25"/>
        <v>2.16</v>
      </c>
      <c r="AT55" s="40">
        <f t="shared" si="26"/>
        <v>71.950326228703048</v>
      </c>
    </row>
    <row r="56" spans="17:46" x14ac:dyDescent="0.25">
      <c r="Q56">
        <v>49</v>
      </c>
      <c r="R56" s="39">
        <f t="shared" si="0"/>
        <v>135</v>
      </c>
      <c r="S56" s="37">
        <f t="shared" si="30"/>
        <v>1.6333333333333335E-2</v>
      </c>
      <c r="T56" s="37">
        <f t="shared" si="2"/>
        <v>24</v>
      </c>
      <c r="U56" s="40">
        <f t="shared" si="31"/>
        <v>0.10208333333333333</v>
      </c>
      <c r="V56" s="39">
        <f t="shared" si="32"/>
        <v>2</v>
      </c>
      <c r="W56" s="37">
        <f t="shared" si="33"/>
        <v>0.82222222222222219</v>
      </c>
      <c r="X56" s="40">
        <f t="shared" si="34"/>
        <v>0.17777777777777781</v>
      </c>
      <c r="Y56" s="39">
        <f t="shared" si="35"/>
        <v>6.5953654188948316E-2</v>
      </c>
      <c r="Z56" s="37">
        <f t="shared" si="28"/>
        <v>0.1350601604278075</v>
      </c>
      <c r="AA56" s="37">
        <f t="shared" si="29"/>
        <v>0.103843619541681</v>
      </c>
      <c r="AB56" s="37">
        <v>0</v>
      </c>
      <c r="AC56" s="37">
        <f t="shared" si="36"/>
        <v>1.1861847051469133E-2</v>
      </c>
      <c r="AD56" s="40">
        <f t="shared" si="19"/>
        <v>1.1861847051469133E-2</v>
      </c>
      <c r="AE56" s="39">
        <f t="shared" si="27"/>
        <v>8.3935185185185182E-2</v>
      </c>
      <c r="AF56" s="37">
        <f t="shared" si="20"/>
        <v>9.4161728581101195E-2</v>
      </c>
      <c r="AG56" s="37">
        <f t="shared" si="37"/>
        <v>2.4826007162266719E-3</v>
      </c>
      <c r="AH56" s="37">
        <f t="shared" si="38"/>
        <v>0.16405130791609401</v>
      </c>
      <c r="AI56" s="40">
        <f t="shared" si="21"/>
        <v>0.16653390863232068</v>
      </c>
      <c r="AJ56" s="39">
        <f t="shared" si="22"/>
        <v>1.8148148148148153E-2</v>
      </c>
      <c r="AK56" s="37">
        <f t="shared" si="39"/>
        <v>4.3784314430357664E-2</v>
      </c>
      <c r="AL56" s="37">
        <f t="shared" si="40"/>
        <v>1.3066666666666669E-2</v>
      </c>
      <c r="AM56" s="37">
        <f t="shared" si="41"/>
        <v>0.59752000000000005</v>
      </c>
      <c r="AN56" s="40">
        <f t="shared" si="23"/>
        <v>0.61058666666666672</v>
      </c>
      <c r="AO56" s="39">
        <f t="shared" si="42"/>
        <v>1.0639717355257164E-3</v>
      </c>
      <c r="AP56" s="37">
        <f t="shared" si="43"/>
        <v>4.5441000000000002E-2</v>
      </c>
      <c r="AQ56" s="40">
        <f t="shared" si="44"/>
        <v>1.0800000000000001E-2</v>
      </c>
      <c r="AR56" s="39">
        <f t="shared" si="24"/>
        <v>0.84628739408598219</v>
      </c>
      <c r="AS56" s="37">
        <f t="shared" si="25"/>
        <v>2.2050000000000001</v>
      </c>
      <c r="AT56" s="40">
        <f t="shared" si="26"/>
        <v>72.264579346859946</v>
      </c>
    </row>
    <row r="57" spans="17:46" x14ac:dyDescent="0.25">
      <c r="Q57">
        <v>50</v>
      </c>
      <c r="R57" s="39">
        <f t="shared" si="0"/>
        <v>135</v>
      </c>
      <c r="S57" s="37">
        <f t="shared" si="30"/>
        <v>1.666666666666667E-2</v>
      </c>
      <c r="T57" s="37">
        <f t="shared" si="2"/>
        <v>24</v>
      </c>
      <c r="U57" s="40">
        <f t="shared" si="31"/>
        <v>0.10416666666666669</v>
      </c>
      <c r="V57" s="39">
        <f t="shared" si="32"/>
        <v>2</v>
      </c>
      <c r="W57" s="37">
        <f t="shared" si="33"/>
        <v>0.82222222222222219</v>
      </c>
      <c r="X57" s="40">
        <f t="shared" si="34"/>
        <v>0.17777777777777781</v>
      </c>
      <c r="Y57" s="39">
        <f t="shared" si="35"/>
        <v>6.5953654188948316E-2</v>
      </c>
      <c r="Z57" s="37">
        <f t="shared" si="28"/>
        <v>0.13714349376114085</v>
      </c>
      <c r="AA57" s="37">
        <f t="shared" si="29"/>
        <v>0.10589232653746633</v>
      </c>
      <c r="AB57" s="37">
        <v>0</v>
      </c>
      <c r="AC57" s="37">
        <f t="shared" si="36"/>
        <v>1.2334503301469136E-2</v>
      </c>
      <c r="AD57" s="40">
        <f t="shared" si="19"/>
        <v>1.2334503301469136E-2</v>
      </c>
      <c r="AE57" s="39">
        <f t="shared" si="27"/>
        <v>8.5648148148148154E-2</v>
      </c>
      <c r="AF57" s="37">
        <f t="shared" si="20"/>
        <v>9.6019423766715475E-2</v>
      </c>
      <c r="AG57" s="37">
        <f t="shared" si="37"/>
        <v>2.581524327337784E-3</v>
      </c>
      <c r="AH57" s="37">
        <f t="shared" si="38"/>
        <v>0.16739929379193269</v>
      </c>
      <c r="AI57" s="40">
        <f t="shared" si="21"/>
        <v>0.16998081811927049</v>
      </c>
      <c r="AJ57" s="39">
        <f t="shared" si="22"/>
        <v>1.8518518518518524E-2</v>
      </c>
      <c r="AK57" s="37">
        <f t="shared" si="39"/>
        <v>4.4648125145691345E-2</v>
      </c>
      <c r="AL57" s="37">
        <f t="shared" si="40"/>
        <v>1.3333333333333336E-2</v>
      </c>
      <c r="AM57" s="37">
        <f t="shared" si="41"/>
        <v>0.59752000000000005</v>
      </c>
      <c r="AN57" s="40">
        <f t="shared" si="23"/>
        <v>0.61085333333333336</v>
      </c>
      <c r="AO57" s="39">
        <f t="shared" si="42"/>
        <v>1.1063675688590502E-3</v>
      </c>
      <c r="AP57" s="37">
        <f t="shared" si="43"/>
        <v>4.5441000000000002E-2</v>
      </c>
      <c r="AQ57" s="40">
        <f t="shared" si="44"/>
        <v>1.0800000000000001E-2</v>
      </c>
      <c r="AR57" s="39">
        <f t="shared" si="24"/>
        <v>0.850516022322932</v>
      </c>
      <c r="AS57" s="37">
        <f t="shared" si="25"/>
        <v>2.2500000000000004</v>
      </c>
      <c r="AT57" s="40">
        <f t="shared" si="26"/>
        <v>72.568565483957144</v>
      </c>
    </row>
    <row r="58" spans="17:46" x14ac:dyDescent="0.25">
      <c r="Q58">
        <v>51</v>
      </c>
      <c r="R58" s="39">
        <f t="shared" si="0"/>
        <v>135</v>
      </c>
      <c r="S58" s="37">
        <f t="shared" si="30"/>
        <v>1.7000000000000001E-2</v>
      </c>
      <c r="T58" s="37">
        <f t="shared" si="2"/>
        <v>24</v>
      </c>
      <c r="U58" s="40">
        <f t="shared" si="31"/>
        <v>0.10625000000000001</v>
      </c>
      <c r="V58" s="39">
        <f t="shared" si="32"/>
        <v>2</v>
      </c>
      <c r="W58" s="37">
        <f t="shared" si="33"/>
        <v>0.82222222222222219</v>
      </c>
      <c r="X58" s="40">
        <f t="shared" si="34"/>
        <v>0.17777777777777781</v>
      </c>
      <c r="Y58" s="39">
        <f t="shared" si="35"/>
        <v>6.5953654188948316E-2</v>
      </c>
      <c r="Z58" s="37">
        <f t="shared" si="28"/>
        <v>0.13922682709447418</v>
      </c>
      <c r="AA58" s="37">
        <f t="shared" si="29"/>
        <v>0.10794235903978082</v>
      </c>
      <c r="AB58" s="37">
        <v>0</v>
      </c>
      <c r="AC58" s="37">
        <f t="shared" si="36"/>
        <v>1.2816708162580249E-2</v>
      </c>
      <c r="AD58" s="40">
        <f t="shared" si="19"/>
        <v>1.2816708162580249E-2</v>
      </c>
      <c r="AE58" s="39">
        <f t="shared" si="27"/>
        <v>8.7361111111111112E-2</v>
      </c>
      <c r="AF58" s="37">
        <f t="shared" si="20"/>
        <v>9.7878320874860758E-2</v>
      </c>
      <c r="AG58" s="37">
        <f t="shared" si="37"/>
        <v>2.6824463952390175E-3</v>
      </c>
      <c r="AH58" s="37">
        <f t="shared" si="38"/>
        <v>0.17074727966777134</v>
      </c>
      <c r="AI58" s="40">
        <f t="shared" si="21"/>
        <v>0.17342972606301035</v>
      </c>
      <c r="AJ58" s="39">
        <f t="shared" si="22"/>
        <v>1.8888888888888896E-2</v>
      </c>
      <c r="AK58" s="37">
        <f t="shared" si="39"/>
        <v>4.5512494743649767E-2</v>
      </c>
      <c r="AL58" s="37">
        <f t="shared" si="40"/>
        <v>1.3600000000000001E-2</v>
      </c>
      <c r="AM58" s="37">
        <f t="shared" si="41"/>
        <v>0.59752000000000005</v>
      </c>
      <c r="AN58" s="40">
        <f t="shared" si="23"/>
        <v>0.61112000000000011</v>
      </c>
      <c r="AO58" s="39">
        <f t="shared" si="42"/>
        <v>1.1496198836738645E-3</v>
      </c>
      <c r="AP58" s="37">
        <f t="shared" si="43"/>
        <v>4.5441000000000002E-2</v>
      </c>
      <c r="AQ58" s="40">
        <f t="shared" si="44"/>
        <v>1.0800000000000001E-2</v>
      </c>
      <c r="AR58" s="39">
        <f t="shared" si="24"/>
        <v>0.85475705410926461</v>
      </c>
      <c r="AS58" s="37">
        <f t="shared" si="25"/>
        <v>2.2950000000000004</v>
      </c>
      <c r="AT58" s="40">
        <f t="shared" si="26"/>
        <v>72.862762447214038</v>
      </c>
    </row>
    <row r="59" spans="17:46" x14ac:dyDescent="0.25">
      <c r="Q59">
        <v>52</v>
      </c>
      <c r="R59" s="39">
        <f t="shared" si="0"/>
        <v>135</v>
      </c>
      <c r="S59" s="37">
        <f t="shared" si="30"/>
        <v>1.7333333333333336E-2</v>
      </c>
      <c r="T59" s="37">
        <f t="shared" si="2"/>
        <v>24</v>
      </c>
      <c r="U59" s="40">
        <f t="shared" si="31"/>
        <v>0.10833333333333334</v>
      </c>
      <c r="V59" s="39">
        <f t="shared" si="32"/>
        <v>2</v>
      </c>
      <c r="W59" s="37">
        <f t="shared" si="33"/>
        <v>0.82222222222222219</v>
      </c>
      <c r="X59" s="40">
        <f t="shared" si="34"/>
        <v>0.17777777777777781</v>
      </c>
      <c r="Y59" s="39">
        <f t="shared" si="35"/>
        <v>6.5953654188948316E-2</v>
      </c>
      <c r="Z59" s="37">
        <f t="shared" si="28"/>
        <v>0.1413101604278075</v>
      </c>
      <c r="AA59" s="37">
        <f t="shared" si="29"/>
        <v>0.10999364293532632</v>
      </c>
      <c r="AB59" s="37">
        <v>0</v>
      </c>
      <c r="AC59" s="37">
        <f t="shared" si="36"/>
        <v>1.330846163480247E-2</v>
      </c>
      <c r="AD59" s="40">
        <f t="shared" si="19"/>
        <v>1.330846163480247E-2</v>
      </c>
      <c r="AE59" s="39">
        <f t="shared" si="27"/>
        <v>8.9074074074074069E-2</v>
      </c>
      <c r="AF59" s="37">
        <f t="shared" si="20"/>
        <v>9.9738352702214511E-2</v>
      </c>
      <c r="AG59" s="37">
        <f t="shared" si="37"/>
        <v>2.7853669199303754E-3</v>
      </c>
      <c r="AH59" s="37">
        <f t="shared" si="38"/>
        <v>0.17409526554360999</v>
      </c>
      <c r="AI59" s="40">
        <f t="shared" si="21"/>
        <v>0.17688063246354035</v>
      </c>
      <c r="AJ59" s="39">
        <f t="shared" si="22"/>
        <v>1.9259259259259264E-2</v>
      </c>
      <c r="AK59" s="37">
        <f t="shared" si="39"/>
        <v>4.637739197532266E-2</v>
      </c>
      <c r="AL59" s="37">
        <f t="shared" si="40"/>
        <v>1.3866666666666669E-2</v>
      </c>
      <c r="AM59" s="37">
        <f t="shared" si="41"/>
        <v>0.59752000000000005</v>
      </c>
      <c r="AN59" s="40">
        <f t="shared" si="23"/>
        <v>0.61138666666666674</v>
      </c>
      <c r="AO59" s="39">
        <f t="shared" si="42"/>
        <v>1.1937286799701607E-3</v>
      </c>
      <c r="AP59" s="37">
        <f t="shared" si="43"/>
        <v>4.5441000000000002E-2</v>
      </c>
      <c r="AQ59" s="40">
        <f t="shared" si="44"/>
        <v>1.0800000000000001E-2</v>
      </c>
      <c r="AR59" s="39">
        <f t="shared" si="24"/>
        <v>0.85901048944497971</v>
      </c>
      <c r="AS59" s="37">
        <f t="shared" si="25"/>
        <v>2.3400000000000003</v>
      </c>
      <c r="AT59" s="40">
        <f t="shared" si="26"/>
        <v>73.147618856541612</v>
      </c>
    </row>
    <row r="60" spans="17:46" x14ac:dyDescent="0.25">
      <c r="Q60">
        <v>53</v>
      </c>
      <c r="R60" s="39">
        <f t="shared" si="0"/>
        <v>135</v>
      </c>
      <c r="S60" s="37">
        <f t="shared" si="30"/>
        <v>1.7666666666666667E-2</v>
      </c>
      <c r="T60" s="37">
        <f t="shared" si="2"/>
        <v>24</v>
      </c>
      <c r="U60" s="40">
        <f t="shared" si="31"/>
        <v>0.11041666666666668</v>
      </c>
      <c r="V60" s="39">
        <f t="shared" si="32"/>
        <v>2</v>
      </c>
      <c r="W60" s="37">
        <f t="shared" si="33"/>
        <v>0.82222222222222219</v>
      </c>
      <c r="X60" s="40">
        <f t="shared" si="34"/>
        <v>0.17777777777777781</v>
      </c>
      <c r="Y60" s="39">
        <f t="shared" si="35"/>
        <v>6.5953654188948316E-2</v>
      </c>
      <c r="Z60" s="37">
        <f t="shared" si="28"/>
        <v>0.14339349376114083</v>
      </c>
      <c r="AA60" s="37">
        <f t="shared" si="29"/>
        <v>0.11204610949448771</v>
      </c>
      <c r="AB60" s="37">
        <v>0</v>
      </c>
      <c r="AC60" s="37">
        <f t="shared" si="36"/>
        <v>1.3809763718135802E-2</v>
      </c>
      <c r="AD60" s="40">
        <f t="shared" si="19"/>
        <v>1.3809763718135802E-2</v>
      </c>
      <c r="AE60" s="39">
        <f t="shared" si="27"/>
        <v>9.0787037037037041E-2</v>
      </c>
      <c r="AF60" s="37">
        <f t="shared" si="20"/>
        <v>0.1015994569271878</v>
      </c>
      <c r="AG60" s="37">
        <f t="shared" si="37"/>
        <v>2.8902859014118577E-3</v>
      </c>
      <c r="AH60" s="37">
        <f t="shared" si="38"/>
        <v>0.17744325141944867</v>
      </c>
      <c r="AI60" s="40">
        <f t="shared" si="21"/>
        <v>0.18033353732086052</v>
      </c>
      <c r="AJ60" s="39">
        <f t="shared" si="22"/>
        <v>1.9629629629629636E-2</v>
      </c>
      <c r="AK60" s="37">
        <f t="shared" si="39"/>
        <v>4.7242787861759818E-2</v>
      </c>
      <c r="AL60" s="37">
        <f t="shared" si="40"/>
        <v>1.4133333333333335E-2</v>
      </c>
      <c r="AM60" s="37">
        <f t="shared" si="41"/>
        <v>0.59752000000000005</v>
      </c>
      <c r="AN60" s="40">
        <f t="shared" si="23"/>
        <v>0.61165333333333338</v>
      </c>
      <c r="AO60" s="39">
        <f t="shared" si="42"/>
        <v>1.2386939577479388E-3</v>
      </c>
      <c r="AP60" s="37">
        <f t="shared" si="43"/>
        <v>4.5441000000000002E-2</v>
      </c>
      <c r="AQ60" s="40">
        <f t="shared" si="44"/>
        <v>1.0800000000000001E-2</v>
      </c>
      <c r="AR60" s="39">
        <f t="shared" si="24"/>
        <v>0.86327632833007761</v>
      </c>
      <c r="AS60" s="37">
        <f t="shared" si="25"/>
        <v>2.3850000000000002</v>
      </c>
      <c r="AT60" s="40">
        <f t="shared" si="26"/>
        <v>73.423556339682364</v>
      </c>
    </row>
    <row r="61" spans="17:46" x14ac:dyDescent="0.25">
      <c r="Q61">
        <v>54</v>
      </c>
      <c r="R61" s="39">
        <f t="shared" si="0"/>
        <v>135</v>
      </c>
      <c r="S61" s="37">
        <f t="shared" si="30"/>
        <v>1.8000000000000002E-2</v>
      </c>
      <c r="T61" s="37">
        <f t="shared" si="2"/>
        <v>24</v>
      </c>
      <c r="U61" s="40">
        <f t="shared" si="31"/>
        <v>0.1125</v>
      </c>
      <c r="V61" s="39">
        <f t="shared" si="32"/>
        <v>2</v>
      </c>
      <c r="W61" s="37">
        <f t="shared" si="33"/>
        <v>0.82222222222222219</v>
      </c>
      <c r="X61" s="40">
        <f t="shared" si="34"/>
        <v>0.17777777777777781</v>
      </c>
      <c r="Y61" s="39">
        <f t="shared" si="35"/>
        <v>6.5953654188948316E-2</v>
      </c>
      <c r="Z61" s="37">
        <f t="shared" si="28"/>
        <v>0.14547682709447415</v>
      </c>
      <c r="AA61" s="37">
        <f t="shared" si="29"/>
        <v>0.11409969489474084</v>
      </c>
      <c r="AB61" s="37">
        <v>0</v>
      </c>
      <c r="AC61" s="37">
        <f t="shared" si="36"/>
        <v>1.4320614412580245E-2</v>
      </c>
      <c r="AD61" s="40">
        <f t="shared" si="19"/>
        <v>1.4320614412580245E-2</v>
      </c>
      <c r="AE61" s="39">
        <f t="shared" si="27"/>
        <v>9.2499999999999999E-2</v>
      </c>
      <c r="AF61" s="37">
        <f t="shared" si="20"/>
        <v>0.10346157567776863</v>
      </c>
      <c r="AG61" s="37">
        <f t="shared" si="37"/>
        <v>2.997203339683461E-3</v>
      </c>
      <c r="AH61" s="37">
        <f t="shared" si="38"/>
        <v>0.18079123729528729</v>
      </c>
      <c r="AI61" s="40">
        <f t="shared" si="21"/>
        <v>0.18378844063497074</v>
      </c>
      <c r="AJ61" s="39">
        <f t="shared" si="22"/>
        <v>2.0000000000000004E-2</v>
      </c>
      <c r="AK61" s="37">
        <f t="shared" si="39"/>
        <v>4.8108655493022276E-2</v>
      </c>
      <c r="AL61" s="37">
        <f t="shared" si="40"/>
        <v>1.4400000000000003E-2</v>
      </c>
      <c r="AM61" s="37">
        <f t="shared" si="41"/>
        <v>0.59752000000000005</v>
      </c>
      <c r="AN61" s="40">
        <f t="shared" si="23"/>
        <v>0.61192000000000002</v>
      </c>
      <c r="AO61" s="39">
        <f t="shared" si="42"/>
        <v>1.2845157170071975E-3</v>
      </c>
      <c r="AP61" s="37">
        <f t="shared" si="43"/>
        <v>4.5441000000000002E-2</v>
      </c>
      <c r="AQ61" s="40">
        <f t="shared" si="44"/>
        <v>1.0800000000000001E-2</v>
      </c>
      <c r="AR61" s="39">
        <f t="shared" si="24"/>
        <v>0.86755457076455822</v>
      </c>
      <c r="AS61" s="37">
        <f t="shared" si="25"/>
        <v>2.4300000000000002</v>
      </c>
      <c r="AT61" s="40">
        <f t="shared" si="26"/>
        <v>73.690971532173606</v>
      </c>
    </row>
    <row r="62" spans="17:46" x14ac:dyDescent="0.25">
      <c r="Q62">
        <v>55</v>
      </c>
      <c r="R62" s="39">
        <f t="shared" si="0"/>
        <v>135</v>
      </c>
      <c r="S62" s="37">
        <f t="shared" si="30"/>
        <v>1.8333333333333337E-2</v>
      </c>
      <c r="T62" s="37">
        <f t="shared" si="2"/>
        <v>24</v>
      </c>
      <c r="U62" s="40">
        <f t="shared" si="31"/>
        <v>0.11458333333333336</v>
      </c>
      <c r="V62" s="39">
        <f t="shared" si="32"/>
        <v>2</v>
      </c>
      <c r="W62" s="37">
        <f t="shared" si="33"/>
        <v>0.82222222222222219</v>
      </c>
      <c r="X62" s="40">
        <f t="shared" si="34"/>
        <v>0.17777777777777781</v>
      </c>
      <c r="Y62" s="39">
        <f t="shared" si="35"/>
        <v>6.5953654188948316E-2</v>
      </c>
      <c r="Z62" s="37">
        <f t="shared" si="28"/>
        <v>0.14756016042780751</v>
      </c>
      <c r="AA62" s="37">
        <f t="shared" si="29"/>
        <v>0.1161543397934435</v>
      </c>
      <c r="AB62" s="37">
        <v>0</v>
      </c>
      <c r="AC62" s="37">
        <f t="shared" si="36"/>
        <v>1.4841013718135806E-2</v>
      </c>
      <c r="AD62" s="40">
        <f t="shared" si="19"/>
        <v>1.4841013718135806E-2</v>
      </c>
      <c r="AE62" s="39">
        <f t="shared" si="27"/>
        <v>9.4212962962962984E-2</v>
      </c>
      <c r="AF62" s="37">
        <f t="shared" si="20"/>
        <v>0.10532465514414383</v>
      </c>
      <c r="AG62" s="37">
        <f t="shared" si="37"/>
        <v>3.1061192347451904E-3</v>
      </c>
      <c r="AH62" s="37">
        <f t="shared" si="38"/>
        <v>0.18413922317112599</v>
      </c>
      <c r="AI62" s="40">
        <f t="shared" si="21"/>
        <v>0.18724534240587118</v>
      </c>
      <c r="AJ62" s="39">
        <f t="shared" si="22"/>
        <v>2.0370370370370379E-2</v>
      </c>
      <c r="AK62" s="37">
        <f t="shared" si="39"/>
        <v>4.8974969848055126E-2</v>
      </c>
      <c r="AL62" s="37">
        <f t="shared" si="40"/>
        <v>1.466666666666667E-2</v>
      </c>
      <c r="AM62" s="37">
        <f t="shared" si="41"/>
        <v>0.59752000000000005</v>
      </c>
      <c r="AN62" s="40">
        <f t="shared" si="23"/>
        <v>0.61218666666666677</v>
      </c>
      <c r="AO62" s="39">
        <f t="shared" si="42"/>
        <v>1.3311939577479385E-3</v>
      </c>
      <c r="AP62" s="37">
        <f t="shared" si="43"/>
        <v>4.5441000000000002E-2</v>
      </c>
      <c r="AQ62" s="40">
        <f t="shared" si="44"/>
        <v>1.0800000000000001E-2</v>
      </c>
      <c r="AR62" s="39">
        <f t="shared" si="24"/>
        <v>0.87184521674842175</v>
      </c>
      <c r="AS62" s="37">
        <f t="shared" si="25"/>
        <v>2.4750000000000005</v>
      </c>
      <c r="AT62" s="40">
        <f t="shared" si="26"/>
        <v>73.950237902084694</v>
      </c>
    </row>
    <row r="63" spans="17:46" x14ac:dyDescent="0.25">
      <c r="Q63">
        <v>56</v>
      </c>
      <c r="R63" s="39">
        <f t="shared" si="0"/>
        <v>135</v>
      </c>
      <c r="S63" s="37">
        <f t="shared" si="30"/>
        <v>1.8666666666666668E-2</v>
      </c>
      <c r="T63" s="37">
        <f t="shared" si="2"/>
        <v>24</v>
      </c>
      <c r="U63" s="40">
        <f t="shared" si="31"/>
        <v>0.11666666666666665</v>
      </c>
      <c r="V63" s="39">
        <f t="shared" si="32"/>
        <v>2</v>
      </c>
      <c r="W63" s="37">
        <f t="shared" si="33"/>
        <v>0.82222222222222219</v>
      </c>
      <c r="X63" s="40">
        <f t="shared" si="34"/>
        <v>0.17777777777777781</v>
      </c>
      <c r="Y63" s="39">
        <f t="shared" si="35"/>
        <v>6.5953654188948316E-2</v>
      </c>
      <c r="Z63" s="37">
        <f t="shared" si="28"/>
        <v>0.14964349376114081</v>
      </c>
      <c r="AA63" s="37">
        <f t="shared" si="29"/>
        <v>0.1182099889441838</v>
      </c>
      <c r="AB63" s="37">
        <v>0</v>
      </c>
      <c r="AC63" s="37">
        <f t="shared" si="36"/>
        <v>1.5370961634802465E-2</v>
      </c>
      <c r="AD63" s="40">
        <f t="shared" si="19"/>
        <v>1.5370961634802465E-2</v>
      </c>
      <c r="AE63" s="39">
        <f t="shared" si="27"/>
        <v>9.5925925925925914E-2</v>
      </c>
      <c r="AF63" s="37">
        <f t="shared" si="20"/>
        <v>0.10718864523081725</v>
      </c>
      <c r="AG63" s="37">
        <f t="shared" si="37"/>
        <v>3.2170335865970407E-3</v>
      </c>
      <c r="AH63" s="37">
        <f t="shared" si="38"/>
        <v>0.18748720904696456</v>
      </c>
      <c r="AI63" s="40">
        <f t="shared" si="21"/>
        <v>0.19070424263356159</v>
      </c>
      <c r="AJ63" s="39">
        <f t="shared" si="22"/>
        <v>2.0740740740740744E-2</v>
      </c>
      <c r="AK63" s="37">
        <f t="shared" si="39"/>
        <v>4.9841707632925815E-2</v>
      </c>
      <c r="AL63" s="37">
        <f t="shared" si="40"/>
        <v>1.4933333333333335E-2</v>
      </c>
      <c r="AM63" s="37">
        <f t="shared" si="41"/>
        <v>0.59752000000000005</v>
      </c>
      <c r="AN63" s="40">
        <f t="shared" si="23"/>
        <v>0.61245333333333341</v>
      </c>
      <c r="AO63" s="39">
        <f t="shared" si="42"/>
        <v>1.3787286799701601E-3</v>
      </c>
      <c r="AP63" s="37">
        <f t="shared" si="43"/>
        <v>4.5441000000000002E-2</v>
      </c>
      <c r="AQ63" s="40">
        <f t="shared" si="44"/>
        <v>1.0800000000000001E-2</v>
      </c>
      <c r="AR63" s="39">
        <f t="shared" si="24"/>
        <v>0.87614826628166753</v>
      </c>
      <c r="AS63" s="37">
        <f t="shared" si="25"/>
        <v>2.52</v>
      </c>
      <c r="AT63" s="40">
        <f t="shared" si="26"/>
        <v>74.201707417181353</v>
      </c>
    </row>
    <row r="64" spans="17:46" x14ac:dyDescent="0.25">
      <c r="Q64">
        <v>57</v>
      </c>
      <c r="R64" s="39">
        <f t="shared" si="0"/>
        <v>135</v>
      </c>
      <c r="S64" s="37">
        <f t="shared" si="30"/>
        <v>1.9000000000000003E-2</v>
      </c>
      <c r="T64" s="37">
        <f t="shared" si="2"/>
        <v>24</v>
      </c>
      <c r="U64" s="40">
        <f t="shared" si="31"/>
        <v>0.11875000000000001</v>
      </c>
      <c r="V64" s="39">
        <f t="shared" si="32"/>
        <v>2</v>
      </c>
      <c r="W64" s="37">
        <f t="shared" si="33"/>
        <v>0.82222222222222219</v>
      </c>
      <c r="X64" s="40">
        <f t="shared" si="34"/>
        <v>0.17777777777777781</v>
      </c>
      <c r="Y64" s="39">
        <f t="shared" si="35"/>
        <v>6.5953654188948316E-2</v>
      </c>
      <c r="Z64" s="37">
        <f t="shared" si="28"/>
        <v>0.15172682709447416</v>
      </c>
      <c r="AA64" s="37">
        <f t="shared" si="29"/>
        <v>0.12026659085162825</v>
      </c>
      <c r="AB64" s="37">
        <v>0</v>
      </c>
      <c r="AC64" s="37">
        <f t="shared" si="36"/>
        <v>1.5910458162580247E-2</v>
      </c>
      <c r="AD64" s="40">
        <f t="shared" si="19"/>
        <v>1.5910458162580247E-2</v>
      </c>
      <c r="AE64" s="39">
        <f t="shared" si="27"/>
        <v>9.7638888888888886E-2</v>
      </c>
      <c r="AF64" s="37">
        <f t="shared" si="20"/>
        <v>0.10905349924363822</v>
      </c>
      <c r="AG64" s="37">
        <f t="shared" si="37"/>
        <v>3.3299463952390167E-3</v>
      </c>
      <c r="AH64" s="37">
        <f t="shared" si="38"/>
        <v>0.19083519492280324</v>
      </c>
      <c r="AI64" s="40">
        <f t="shared" si="21"/>
        <v>0.19416514131804224</v>
      </c>
      <c r="AJ64" s="39">
        <f t="shared" si="22"/>
        <v>2.1111111111111115E-2</v>
      </c>
      <c r="AK64" s="37">
        <f t="shared" si="39"/>
        <v>5.0708847135295304E-2</v>
      </c>
      <c r="AL64" s="37">
        <f t="shared" si="40"/>
        <v>1.5200000000000003E-2</v>
      </c>
      <c r="AM64" s="37">
        <f t="shared" si="41"/>
        <v>0.59752000000000005</v>
      </c>
      <c r="AN64" s="40">
        <f t="shared" si="23"/>
        <v>0.61272000000000004</v>
      </c>
      <c r="AO64" s="39">
        <f t="shared" si="42"/>
        <v>1.427119883673864E-3</v>
      </c>
      <c r="AP64" s="37">
        <f t="shared" si="43"/>
        <v>4.5441000000000002E-2</v>
      </c>
      <c r="AQ64" s="40">
        <f t="shared" si="44"/>
        <v>1.0800000000000001E-2</v>
      </c>
      <c r="AR64" s="39">
        <f t="shared" si="24"/>
        <v>0.88046371936429646</v>
      </c>
      <c r="AS64" s="37">
        <f t="shared" si="25"/>
        <v>2.5650000000000004</v>
      </c>
      <c r="AT64" s="40">
        <f t="shared" si="26"/>
        <v>74.445712070166692</v>
      </c>
    </row>
    <row r="65" spans="17:46" x14ac:dyDescent="0.25">
      <c r="Q65">
        <v>58</v>
      </c>
      <c r="R65" s="39">
        <f t="shared" si="0"/>
        <v>135</v>
      </c>
      <c r="S65" s="37">
        <f t="shared" si="30"/>
        <v>1.9333333333333334E-2</v>
      </c>
      <c r="T65" s="37">
        <f t="shared" si="2"/>
        <v>24</v>
      </c>
      <c r="U65" s="40">
        <f t="shared" si="31"/>
        <v>0.12083333333333333</v>
      </c>
      <c r="V65" s="39">
        <f t="shared" si="32"/>
        <v>2</v>
      </c>
      <c r="W65" s="37">
        <f t="shared" si="33"/>
        <v>0.82222222222222219</v>
      </c>
      <c r="X65" s="40">
        <f t="shared" si="34"/>
        <v>0.17777777777777781</v>
      </c>
      <c r="Y65" s="39">
        <f t="shared" si="35"/>
        <v>6.5953654188948316E-2</v>
      </c>
      <c r="Z65" s="37">
        <f t="shared" si="28"/>
        <v>0.15381016042780749</v>
      </c>
      <c r="AA65" s="37">
        <f t="shared" si="29"/>
        <v>0.12232409746046521</v>
      </c>
      <c r="AB65" s="37">
        <v>0</v>
      </c>
      <c r="AC65" s="37">
        <f t="shared" si="36"/>
        <v>1.6459503301469131E-2</v>
      </c>
      <c r="AD65" s="40">
        <f t="shared" si="19"/>
        <v>1.6459503301469131E-2</v>
      </c>
      <c r="AE65" s="39">
        <f t="shared" si="27"/>
        <v>9.9351851851851844E-2</v>
      </c>
      <c r="AF65" s="37">
        <f t="shared" si="20"/>
        <v>0.11091917360774652</v>
      </c>
      <c r="AG65" s="37">
        <f t="shared" si="37"/>
        <v>3.4448576606711154E-3</v>
      </c>
      <c r="AH65" s="37">
        <f t="shared" si="38"/>
        <v>0.19418318079864189</v>
      </c>
      <c r="AI65" s="40">
        <f t="shared" si="21"/>
        <v>0.19762803845931301</v>
      </c>
      <c r="AJ65" s="39">
        <f t="shared" si="22"/>
        <v>2.1481481481481487E-2</v>
      </c>
      <c r="AK65" s="37">
        <f t="shared" si="39"/>
        <v>5.1576368093265171E-2</v>
      </c>
      <c r="AL65" s="37">
        <f t="shared" si="40"/>
        <v>1.5466666666666668E-2</v>
      </c>
      <c r="AM65" s="37">
        <f t="shared" si="41"/>
        <v>0.59752000000000005</v>
      </c>
      <c r="AN65" s="40">
        <f t="shared" si="23"/>
        <v>0.61298666666666668</v>
      </c>
      <c r="AO65" s="39">
        <f t="shared" si="42"/>
        <v>1.4763675688590492E-3</v>
      </c>
      <c r="AP65" s="37">
        <f t="shared" si="43"/>
        <v>4.5441000000000002E-2</v>
      </c>
      <c r="AQ65" s="40">
        <f t="shared" si="44"/>
        <v>1.0800000000000001E-2</v>
      </c>
      <c r="AR65" s="39">
        <f t="shared" si="24"/>
        <v>0.88479157599630787</v>
      </c>
      <c r="AS65" s="37">
        <f t="shared" si="25"/>
        <v>2.6100000000000003</v>
      </c>
      <c r="AT65" s="40">
        <f t="shared" si="26"/>
        <v>74.682565275897232</v>
      </c>
    </row>
    <row r="66" spans="17:46" x14ac:dyDescent="0.25">
      <c r="Q66">
        <v>59</v>
      </c>
      <c r="R66" s="39">
        <f t="shared" si="0"/>
        <v>135</v>
      </c>
      <c r="S66" s="37">
        <f t="shared" si="30"/>
        <v>1.9666666666666669E-2</v>
      </c>
      <c r="T66" s="37">
        <f t="shared" si="2"/>
        <v>24</v>
      </c>
      <c r="U66" s="40">
        <f t="shared" si="31"/>
        <v>0.12291666666666667</v>
      </c>
      <c r="V66" s="39">
        <f t="shared" si="32"/>
        <v>2</v>
      </c>
      <c r="W66" s="37">
        <f t="shared" si="33"/>
        <v>0.82222222222222219</v>
      </c>
      <c r="X66" s="40">
        <f t="shared" si="34"/>
        <v>0.17777777777777781</v>
      </c>
      <c r="Y66" s="39">
        <f t="shared" si="35"/>
        <v>6.5953654188948316E-2</v>
      </c>
      <c r="Z66" s="37">
        <f t="shared" si="28"/>
        <v>0.15589349376114084</v>
      </c>
      <c r="AA66" s="37">
        <f t="shared" si="29"/>
        <v>0.12438246387460491</v>
      </c>
      <c r="AB66" s="37">
        <v>0</v>
      </c>
      <c r="AC66" s="37">
        <f t="shared" si="36"/>
        <v>1.7018097051469137E-2</v>
      </c>
      <c r="AD66" s="40">
        <f t="shared" si="19"/>
        <v>1.7018097051469137E-2</v>
      </c>
      <c r="AE66" s="39">
        <f t="shared" si="27"/>
        <v>0.10106481481481482</v>
      </c>
      <c r="AF66" s="37">
        <f t="shared" si="20"/>
        <v>0.11278562761295269</v>
      </c>
      <c r="AG66" s="37">
        <f t="shared" si="37"/>
        <v>3.5617673828933385E-3</v>
      </c>
      <c r="AH66" s="37">
        <f t="shared" si="38"/>
        <v>0.19753116667448056</v>
      </c>
      <c r="AI66" s="40">
        <f t="shared" si="21"/>
        <v>0.20109293405737391</v>
      </c>
      <c r="AJ66" s="39">
        <f t="shared" si="22"/>
        <v>2.1851851851851858E-2</v>
      </c>
      <c r="AK66" s="37">
        <f t="shared" si="39"/>
        <v>5.2444251576981821E-2</v>
      </c>
      <c r="AL66" s="37">
        <f t="shared" si="40"/>
        <v>1.5733333333333335E-2</v>
      </c>
      <c r="AM66" s="37">
        <f t="shared" si="41"/>
        <v>0.59752000000000005</v>
      </c>
      <c r="AN66" s="40">
        <f t="shared" si="23"/>
        <v>0.61325333333333343</v>
      </c>
      <c r="AO66" s="39">
        <f t="shared" si="42"/>
        <v>1.5264717355257162E-3</v>
      </c>
      <c r="AP66" s="37">
        <f t="shared" si="43"/>
        <v>4.5441000000000002E-2</v>
      </c>
      <c r="AQ66" s="40">
        <f t="shared" si="44"/>
        <v>1.0800000000000001E-2</v>
      </c>
      <c r="AR66" s="39">
        <f t="shared" si="24"/>
        <v>0.8891318361777022</v>
      </c>
      <c r="AS66" s="37">
        <f t="shared" si="25"/>
        <v>2.6550000000000002</v>
      </c>
      <c r="AT66" s="40">
        <f t="shared" si="26"/>
        <v>74.912563152937935</v>
      </c>
    </row>
    <row r="67" spans="17:46" x14ac:dyDescent="0.25">
      <c r="Q67">
        <v>60</v>
      </c>
      <c r="R67" s="39">
        <f t="shared" si="0"/>
        <v>135</v>
      </c>
      <c r="S67" s="37">
        <f t="shared" si="30"/>
        <v>2.0000000000000004E-2</v>
      </c>
      <c r="T67" s="37">
        <f t="shared" si="2"/>
        <v>24</v>
      </c>
      <c r="U67" s="40">
        <f t="shared" si="31"/>
        <v>0.12500000000000003</v>
      </c>
      <c r="V67" s="39">
        <f t="shared" si="32"/>
        <v>2</v>
      </c>
      <c r="W67" s="37">
        <f t="shared" si="33"/>
        <v>0.82222222222222219</v>
      </c>
      <c r="X67" s="40">
        <f t="shared" si="34"/>
        <v>0.17777777777777781</v>
      </c>
      <c r="Y67" s="39">
        <f t="shared" si="35"/>
        <v>6.5953654188948316E-2</v>
      </c>
      <c r="Z67" s="37">
        <f t="shared" si="28"/>
        <v>0.15797682709447419</v>
      </c>
      <c r="AA67" s="37">
        <f t="shared" si="29"/>
        <v>0.1264416481032771</v>
      </c>
      <c r="AB67" s="37">
        <v>0</v>
      </c>
      <c r="AC67" s="37">
        <f t="shared" si="36"/>
        <v>1.7586239412580255E-2</v>
      </c>
      <c r="AD67" s="40">
        <f t="shared" si="19"/>
        <v>1.7586239412580255E-2</v>
      </c>
      <c r="AE67" s="39">
        <f t="shared" si="27"/>
        <v>0.1027777777777778</v>
      </c>
      <c r="AF67" s="37">
        <f t="shared" si="20"/>
        <v>0.11465282318350856</v>
      </c>
      <c r="AG67" s="37">
        <f t="shared" si="37"/>
        <v>3.680675561905686E-3</v>
      </c>
      <c r="AH67" s="37">
        <f t="shared" si="38"/>
        <v>0.20087915255031927</v>
      </c>
      <c r="AI67" s="40">
        <f t="shared" si="21"/>
        <v>0.20455982811222495</v>
      </c>
      <c r="AJ67" s="39">
        <f t="shared" si="22"/>
        <v>2.222222222222223E-2</v>
      </c>
      <c r="AK67" s="37">
        <f t="shared" si="39"/>
        <v>5.331247988158197E-2</v>
      </c>
      <c r="AL67" s="37">
        <f t="shared" si="40"/>
        <v>1.6000000000000004E-2</v>
      </c>
      <c r="AM67" s="37">
        <f t="shared" si="41"/>
        <v>0.59752000000000005</v>
      </c>
      <c r="AN67" s="40">
        <f t="shared" si="23"/>
        <v>0.61352000000000007</v>
      </c>
      <c r="AO67" s="39">
        <f t="shared" si="42"/>
        <v>1.5774323836738652E-3</v>
      </c>
      <c r="AP67" s="37">
        <f t="shared" si="43"/>
        <v>4.5441000000000002E-2</v>
      </c>
      <c r="AQ67" s="40">
        <f t="shared" si="44"/>
        <v>1.0800000000000001E-2</v>
      </c>
      <c r="AR67" s="39">
        <f t="shared" si="24"/>
        <v>0.89348449990847922</v>
      </c>
      <c r="AS67" s="37">
        <f t="shared" si="25"/>
        <v>2.7000000000000006</v>
      </c>
      <c r="AT67" s="40">
        <f t="shared" si="26"/>
        <v>75.135985700474421</v>
      </c>
    </row>
    <row r="68" spans="17:46" x14ac:dyDescent="0.25">
      <c r="Q68">
        <v>61</v>
      </c>
      <c r="R68" s="39">
        <f t="shared" si="0"/>
        <v>135</v>
      </c>
      <c r="S68" s="37">
        <f t="shared" si="30"/>
        <v>2.0333333333333335E-2</v>
      </c>
      <c r="T68" s="37">
        <f t="shared" si="2"/>
        <v>24</v>
      </c>
      <c r="U68" s="40">
        <f t="shared" si="31"/>
        <v>0.12708333333333333</v>
      </c>
      <c r="V68" s="39">
        <f t="shared" si="32"/>
        <v>2</v>
      </c>
      <c r="W68" s="37">
        <f t="shared" si="33"/>
        <v>0.82222222222222219</v>
      </c>
      <c r="X68" s="40">
        <f t="shared" si="34"/>
        <v>0.17777777777777781</v>
      </c>
      <c r="Y68" s="39">
        <f t="shared" si="35"/>
        <v>6.5953654188948316E-2</v>
      </c>
      <c r="Z68" s="37">
        <f t="shared" si="28"/>
        <v>0.16006016042780749</v>
      </c>
      <c r="AA68" s="37">
        <f t="shared" si="29"/>
        <v>0.12850161083108669</v>
      </c>
      <c r="AB68" s="37">
        <v>0</v>
      </c>
      <c r="AC68" s="37">
        <f t="shared" si="36"/>
        <v>1.8163930384802462E-2</v>
      </c>
      <c r="AD68" s="40">
        <f t="shared" si="19"/>
        <v>1.8163930384802462E-2</v>
      </c>
      <c r="AE68" s="39">
        <f t="shared" si="27"/>
        <v>0.10449074074074073</v>
      </c>
      <c r="AF68" s="37">
        <f t="shared" si="20"/>
        <v>0.11652072466960166</v>
      </c>
      <c r="AG68" s="37">
        <f t="shared" si="37"/>
        <v>3.8015821977081532E-3</v>
      </c>
      <c r="AH68" s="37">
        <f t="shared" si="38"/>
        <v>0.20422713842615786</v>
      </c>
      <c r="AI68" s="40">
        <f t="shared" si="21"/>
        <v>0.20802872062386601</v>
      </c>
      <c r="AJ68" s="39">
        <f t="shared" si="22"/>
        <v>2.2592592592592595E-2</v>
      </c>
      <c r="AK68" s="37">
        <f t="shared" si="39"/>
        <v>5.418103643023954E-2</v>
      </c>
      <c r="AL68" s="37">
        <f t="shared" si="40"/>
        <v>1.6266666666666669E-2</v>
      </c>
      <c r="AM68" s="37">
        <f t="shared" si="41"/>
        <v>0.59752000000000005</v>
      </c>
      <c r="AN68" s="40">
        <f t="shared" si="23"/>
        <v>0.6137866666666667</v>
      </c>
      <c r="AO68" s="39">
        <f t="shared" si="42"/>
        <v>1.6292495133034938E-3</v>
      </c>
      <c r="AP68" s="37">
        <f t="shared" si="43"/>
        <v>4.5441000000000002E-2</v>
      </c>
      <c r="AQ68" s="40">
        <f t="shared" si="44"/>
        <v>1.0800000000000001E-2</v>
      </c>
      <c r="AR68" s="39">
        <f t="shared" si="24"/>
        <v>0.89784956718863862</v>
      </c>
      <c r="AS68" s="37">
        <f t="shared" si="25"/>
        <v>2.7450000000000001</v>
      </c>
      <c r="AT68" s="40">
        <f t="shared" si="26"/>
        <v>75.353097880416954</v>
      </c>
    </row>
    <row r="69" spans="17:46" x14ac:dyDescent="0.25">
      <c r="Q69">
        <v>62</v>
      </c>
      <c r="R69" s="39">
        <f t="shared" si="0"/>
        <v>135</v>
      </c>
      <c r="S69" s="37">
        <f t="shared" si="30"/>
        <v>2.066666666666667E-2</v>
      </c>
      <c r="T69" s="37">
        <f t="shared" si="2"/>
        <v>24</v>
      </c>
      <c r="U69" s="40">
        <f t="shared" si="31"/>
        <v>0.12916666666666668</v>
      </c>
      <c r="V69" s="39">
        <f t="shared" si="32"/>
        <v>2</v>
      </c>
      <c r="W69" s="37">
        <f t="shared" si="33"/>
        <v>0.82222222222222219</v>
      </c>
      <c r="X69" s="40">
        <f t="shared" si="34"/>
        <v>0.17777777777777781</v>
      </c>
      <c r="Y69" s="39">
        <f t="shared" si="35"/>
        <v>6.5953654188948316E-2</v>
      </c>
      <c r="Z69" s="37">
        <f t="shared" si="28"/>
        <v>0.16214349376114084</v>
      </c>
      <c r="AA69" s="37">
        <f t="shared" si="29"/>
        <v>0.13056231520944597</v>
      </c>
      <c r="AB69" s="37">
        <v>0</v>
      </c>
      <c r="AC69" s="37">
        <f t="shared" si="36"/>
        <v>1.8751169968135802E-2</v>
      </c>
      <c r="AD69" s="40">
        <f t="shared" si="19"/>
        <v>1.8751169968135802E-2</v>
      </c>
      <c r="AE69" s="39">
        <f t="shared" si="27"/>
        <v>0.10620370370370372</v>
      </c>
      <c r="AF69" s="37">
        <f t="shared" si="20"/>
        <v>0.11838929865823337</v>
      </c>
      <c r="AG69" s="37">
        <f t="shared" si="37"/>
        <v>3.9244872903007461E-3</v>
      </c>
      <c r="AH69" s="37">
        <f t="shared" si="38"/>
        <v>0.20757512430199651</v>
      </c>
      <c r="AI69" s="40">
        <f t="shared" si="21"/>
        <v>0.21149961159229724</v>
      </c>
      <c r="AJ69" s="39">
        <f t="shared" si="22"/>
        <v>2.296296296296297E-2</v>
      </c>
      <c r="AK69" s="37">
        <f t="shared" si="39"/>
        <v>5.5049905686225774E-2</v>
      </c>
      <c r="AL69" s="37">
        <f t="shared" si="40"/>
        <v>1.6533333333333337E-2</v>
      </c>
      <c r="AM69" s="37">
        <f t="shared" si="41"/>
        <v>0.59752000000000005</v>
      </c>
      <c r="AN69" s="40">
        <f t="shared" si="23"/>
        <v>0.61405333333333334</v>
      </c>
      <c r="AO69" s="39">
        <f t="shared" si="42"/>
        <v>1.6819231244146055E-3</v>
      </c>
      <c r="AP69" s="37">
        <f t="shared" si="43"/>
        <v>4.5441000000000002E-2</v>
      </c>
      <c r="AQ69" s="40">
        <f t="shared" si="44"/>
        <v>1.0800000000000001E-2</v>
      </c>
      <c r="AR69" s="39">
        <f t="shared" si="24"/>
        <v>0.90222703801818094</v>
      </c>
      <c r="AS69" s="37">
        <f t="shared" si="25"/>
        <v>2.7900000000000005</v>
      </c>
      <c r="AT69" s="40">
        <f t="shared" si="26"/>
        <v>75.564150613488408</v>
      </c>
    </row>
    <row r="70" spans="17:46" x14ac:dyDescent="0.25">
      <c r="Q70">
        <v>63</v>
      </c>
      <c r="R70" s="39">
        <f t="shared" si="0"/>
        <v>135</v>
      </c>
      <c r="S70" s="37">
        <f t="shared" si="30"/>
        <v>2.1000000000000001E-2</v>
      </c>
      <c r="T70" s="37">
        <f t="shared" si="2"/>
        <v>24</v>
      </c>
      <c r="U70" s="40">
        <f t="shared" si="31"/>
        <v>0.13124999999999998</v>
      </c>
      <c r="V70" s="39">
        <f t="shared" si="32"/>
        <v>2</v>
      </c>
      <c r="W70" s="37">
        <f t="shared" si="33"/>
        <v>0.82222222222222219</v>
      </c>
      <c r="X70" s="40">
        <f t="shared" si="34"/>
        <v>0.17777777777777781</v>
      </c>
      <c r="Y70" s="39">
        <f t="shared" si="35"/>
        <v>6.5953654188948316E-2</v>
      </c>
      <c r="Z70" s="37">
        <f t="shared" si="28"/>
        <v>0.16422682709447414</v>
      </c>
      <c r="AA70" s="37">
        <f t="shared" si="29"/>
        <v>0.13262372666711242</v>
      </c>
      <c r="AB70" s="37">
        <v>0</v>
      </c>
      <c r="AC70" s="37">
        <f t="shared" si="36"/>
        <v>1.9347958162580243E-2</v>
      </c>
      <c r="AD70" s="40">
        <f t="shared" si="19"/>
        <v>1.9347958162580243E-2</v>
      </c>
      <c r="AE70" s="39">
        <f t="shared" si="27"/>
        <v>0.10791666666666665</v>
      </c>
      <c r="AF70" s="37">
        <f t="shared" si="20"/>
        <v>0.12025851380142133</v>
      </c>
      <c r="AG70" s="37">
        <f t="shared" si="37"/>
        <v>4.0493908396834607E-3</v>
      </c>
      <c r="AH70" s="37">
        <f t="shared" si="38"/>
        <v>0.2109231101778351</v>
      </c>
      <c r="AI70" s="40">
        <f t="shared" si="21"/>
        <v>0.21497250101751855</v>
      </c>
      <c r="AJ70" s="39">
        <f t="shared" si="22"/>
        <v>2.3333333333333334E-2</v>
      </c>
      <c r="AK70" s="37">
        <f t="shared" si="39"/>
        <v>5.5919073073024933E-2</v>
      </c>
      <c r="AL70" s="37">
        <f t="shared" si="40"/>
        <v>1.6800000000000002E-2</v>
      </c>
      <c r="AM70" s="37">
        <f t="shared" si="41"/>
        <v>0.59752000000000005</v>
      </c>
      <c r="AN70" s="40">
        <f t="shared" si="23"/>
        <v>0.61432000000000009</v>
      </c>
      <c r="AO70" s="39">
        <f t="shared" si="42"/>
        <v>1.7354532170071972E-3</v>
      </c>
      <c r="AP70" s="37">
        <f t="shared" si="43"/>
        <v>4.5441000000000002E-2</v>
      </c>
      <c r="AQ70" s="40">
        <f t="shared" si="44"/>
        <v>1.0800000000000001E-2</v>
      </c>
      <c r="AR70" s="39">
        <f t="shared" si="24"/>
        <v>0.90661691239710607</v>
      </c>
      <c r="AS70" s="37">
        <f t="shared" si="25"/>
        <v>2.835</v>
      </c>
      <c r="AT70" s="40">
        <f t="shared" si="26"/>
        <v>75.769381697169194</v>
      </c>
    </row>
    <row r="71" spans="17:46" x14ac:dyDescent="0.25">
      <c r="Q71">
        <v>64</v>
      </c>
      <c r="R71" s="39">
        <f t="shared" ref="R71:R134" si="45">VOUT</f>
        <v>135</v>
      </c>
      <c r="S71" s="37">
        <f t="shared" ref="S71:S102" si="46">Q71*$O$12</f>
        <v>2.1333333333333336E-2</v>
      </c>
      <c r="T71" s="37">
        <f t="shared" ref="T71:T134" si="47">VIN_var</f>
        <v>24</v>
      </c>
      <c r="U71" s="40">
        <f t="shared" ref="U71:U102" si="48">(R71*S71)/(T71*EFF_est)</f>
        <v>0.13333333333333333</v>
      </c>
      <c r="V71" s="39">
        <f t="shared" ref="V71:V102" si="49">IF((S71*R71/T71)&lt;((T71*(1-(T71/R71)))/(2*Lm*Fsw)),1,2)</f>
        <v>2</v>
      </c>
      <c r="W71" s="37">
        <f t="shared" ref="W71:W102" si="50">CHOOSE(V71,SQRT((2*S71*Lm*Fsw*(R71-T71))/((T71)^2)),1-(T71/R71))</f>
        <v>0.82222222222222219</v>
      </c>
      <c r="X71" s="40">
        <f t="shared" ref="X71:X102" si="51">CHOOSE(V71,(Lm*W71*Fsw)/(R71-T71),1-W71)</f>
        <v>0.17777777777777781</v>
      </c>
      <c r="Y71" s="39">
        <f t="shared" ref="Y71:Y102" si="52">(T71*W71)/(Lm*Fsw)</f>
        <v>6.5953654188948316E-2</v>
      </c>
      <c r="Z71" s="37">
        <f t="shared" si="28"/>
        <v>0.1663101604278075</v>
      </c>
      <c r="AA71" s="37">
        <f t="shared" si="29"/>
        <v>0.13468581273783339</v>
      </c>
      <c r="AB71" s="37">
        <v>0</v>
      </c>
      <c r="AC71" s="37">
        <f t="shared" ref="AC71:AC102" si="53">(AA71^2)*Rdcr</f>
        <v>1.9954294968135798E-2</v>
      </c>
      <c r="AD71" s="40">
        <f t="shared" si="19"/>
        <v>1.9954294968135798E-2</v>
      </c>
      <c r="AE71" s="39">
        <f t="shared" si="27"/>
        <v>0.10962962962962962</v>
      </c>
      <c r="AF71" s="37">
        <f t="shared" si="20"/>
        <v>0.12212834065991371</v>
      </c>
      <c r="AG71" s="37">
        <f t="shared" ref="AG71:AG102" si="54">(AF71^2)*RDS_on</f>
        <v>4.1762928458563015E-3</v>
      </c>
      <c r="AH71" s="37">
        <f t="shared" ref="AH71:AH102" si="55">((R71*U71)/2)*Fsw*(tr_sw+tf_sw)</f>
        <v>0.21427109605367381</v>
      </c>
      <c r="AI71" s="40">
        <f t="shared" si="21"/>
        <v>0.21844738889953011</v>
      </c>
      <c r="AJ71" s="39">
        <f t="shared" si="22"/>
        <v>2.3703703703703709E-2</v>
      </c>
      <c r="AK71" s="37">
        <f t="shared" ref="AK71:AK102" si="56">CHOOSE(V71,Z71*SQRT(X71/3),SQRT(X71*((Z71^2)+((Y71^2)/3)-(Y71*Z71))))</f>
        <v>5.6788524901662987E-2</v>
      </c>
      <c r="AL71" s="37">
        <f t="shared" ref="AL71:AL102" si="57">S71*Vd_rect</f>
        <v>1.7066666666666671E-2</v>
      </c>
      <c r="AM71" s="37">
        <f t="shared" ref="AM71:AM102" si="58">CHOOSE(V71,(R71+Vd_rect)*Qrr*Fsw,(R71+Vd_rect)*Qrr*Fsw)</f>
        <v>0.59752000000000005</v>
      </c>
      <c r="AN71" s="40">
        <f t="shared" si="23"/>
        <v>0.61458666666666673</v>
      </c>
      <c r="AO71" s="39">
        <f t="shared" ref="AO71:AO102" si="59">(AF71^2)*R_cs</f>
        <v>1.7898397910812718E-3</v>
      </c>
      <c r="AP71" s="37">
        <f t="shared" ref="AP71:AP102" si="60">Qg_tot*Vcc*Fsw</f>
        <v>4.5441000000000002E-2</v>
      </c>
      <c r="AQ71" s="40">
        <f t="shared" ref="AQ71:AQ102" si="61">IQ*T71</f>
        <v>1.0800000000000001E-2</v>
      </c>
      <c r="AR71" s="39">
        <f t="shared" si="24"/>
        <v>0.9110191903254139</v>
      </c>
      <c r="AS71" s="37">
        <f t="shared" si="25"/>
        <v>2.8800000000000003</v>
      </c>
      <c r="AT71" s="40">
        <f t="shared" si="26"/>
        <v>75.969016652558437</v>
      </c>
    </row>
    <row r="72" spans="17:46" x14ac:dyDescent="0.25">
      <c r="Q72">
        <v>65</v>
      </c>
      <c r="R72" s="39">
        <f t="shared" si="45"/>
        <v>135</v>
      </c>
      <c r="S72" s="37">
        <f t="shared" si="46"/>
        <v>2.1666666666666671E-2</v>
      </c>
      <c r="T72" s="37">
        <f t="shared" si="47"/>
        <v>24</v>
      </c>
      <c r="U72" s="40">
        <f t="shared" si="48"/>
        <v>0.13541666666666669</v>
      </c>
      <c r="V72" s="39">
        <f t="shared" si="49"/>
        <v>2</v>
      </c>
      <c r="W72" s="37">
        <f t="shared" si="50"/>
        <v>0.82222222222222219</v>
      </c>
      <c r="X72" s="40">
        <f t="shared" si="51"/>
        <v>0.17777777777777781</v>
      </c>
      <c r="Y72" s="39">
        <f t="shared" si="52"/>
        <v>6.5953654188948316E-2</v>
      </c>
      <c r="Z72" s="37">
        <f t="shared" si="28"/>
        <v>0.16839349376114085</v>
      </c>
      <c r="AA72" s="37">
        <f t="shared" si="29"/>
        <v>0.13674854290333066</v>
      </c>
      <c r="AB72" s="37">
        <v>0</v>
      </c>
      <c r="AC72" s="37">
        <f t="shared" si="53"/>
        <v>2.0570180384802475E-2</v>
      </c>
      <c r="AD72" s="40">
        <f t="shared" ref="AD72:AD135" si="62">AB72+AC72</f>
        <v>2.0570180384802475E-2</v>
      </c>
      <c r="AE72" s="39">
        <f t="shared" si="27"/>
        <v>0.1113425925925926</v>
      </c>
      <c r="AF72" s="37">
        <f t="shared" ref="AF72:AF135" si="63">CHOOSE(V72,Z72*SQRT(W72/3),SQRT(W72*((Z72^2)+((Y72^2)/3)-(Z72*Y72))))</f>
        <v>0.12399875156081303</v>
      </c>
      <c r="AG72" s="37">
        <f t="shared" si="54"/>
        <v>4.305193308819265E-3</v>
      </c>
      <c r="AH72" s="37">
        <f t="shared" si="55"/>
        <v>0.21761908192951251</v>
      </c>
      <c r="AI72" s="40">
        <f t="shared" ref="AI72:AI135" si="64">AG72+AH72</f>
        <v>0.22192427523833178</v>
      </c>
      <c r="AJ72" s="39">
        <f t="shared" ref="AJ72:AJ135" si="65">X72*U72</f>
        <v>2.4074074074074081E-2</v>
      </c>
      <c r="AK72" s="37">
        <f t="shared" si="56"/>
        <v>5.7658248304503966E-2</v>
      </c>
      <c r="AL72" s="37">
        <f t="shared" si="57"/>
        <v>1.7333333333333336E-2</v>
      </c>
      <c r="AM72" s="37">
        <f t="shared" si="58"/>
        <v>0.59752000000000005</v>
      </c>
      <c r="AN72" s="40">
        <f t="shared" ref="AN72:AN135" si="66">AL72+AM72</f>
        <v>0.61485333333333336</v>
      </c>
      <c r="AO72" s="39">
        <f t="shared" si="59"/>
        <v>1.8450828466368275E-3</v>
      </c>
      <c r="AP72" s="37">
        <f t="shared" si="60"/>
        <v>4.5441000000000002E-2</v>
      </c>
      <c r="AQ72" s="40">
        <f t="shared" si="61"/>
        <v>1.0800000000000001E-2</v>
      </c>
      <c r="AR72" s="39">
        <f t="shared" ref="AR72:AR135" si="67">AO72+AN72+AI72+AD72+AP72+AQ72</f>
        <v>0.91543387180310454</v>
      </c>
      <c r="AS72" s="37">
        <f t="shared" ref="AS72:AS135" si="68">R72*S72</f>
        <v>2.9250000000000007</v>
      </c>
      <c r="AT72" s="40">
        <f t="shared" ref="AT72:AT135" si="69">(AS72/(AS72+AR72))*100</f>
        <v>76.163269506491901</v>
      </c>
    </row>
    <row r="73" spans="17:46" x14ac:dyDescent="0.25">
      <c r="Q73">
        <v>66</v>
      </c>
      <c r="R73" s="39">
        <f t="shared" si="45"/>
        <v>135</v>
      </c>
      <c r="S73" s="37">
        <f t="shared" si="46"/>
        <v>2.2000000000000002E-2</v>
      </c>
      <c r="T73" s="37">
        <f t="shared" si="47"/>
        <v>24</v>
      </c>
      <c r="U73" s="40">
        <f t="shared" si="48"/>
        <v>0.13750000000000001</v>
      </c>
      <c r="V73" s="39">
        <f t="shared" si="49"/>
        <v>2</v>
      </c>
      <c r="W73" s="37">
        <f t="shared" si="50"/>
        <v>0.82222222222222219</v>
      </c>
      <c r="X73" s="40">
        <f t="shared" si="51"/>
        <v>0.17777777777777781</v>
      </c>
      <c r="Y73" s="39">
        <f t="shared" si="52"/>
        <v>6.5953654188948316E-2</v>
      </c>
      <c r="Z73" s="37">
        <f t="shared" si="28"/>
        <v>0.17047682709447418</v>
      </c>
      <c r="AA73" s="37">
        <f t="shared" si="29"/>
        <v>0.13881188845006379</v>
      </c>
      <c r="AB73" s="37">
        <v>0</v>
      </c>
      <c r="AC73" s="37">
        <f t="shared" si="53"/>
        <v>2.1195614412580249E-2</v>
      </c>
      <c r="AD73" s="40">
        <f t="shared" si="62"/>
        <v>2.1195614412580249E-2</v>
      </c>
      <c r="AE73" s="39">
        <f t="shared" ref="AE73:AE136" si="70">U73*W73</f>
        <v>0.11305555555555556</v>
      </c>
      <c r="AF73" s="37">
        <f t="shared" si="63"/>
        <v>0.12586972046769443</v>
      </c>
      <c r="AG73" s="37">
        <f t="shared" si="54"/>
        <v>4.4360922285723494E-3</v>
      </c>
      <c r="AH73" s="37">
        <f t="shared" si="55"/>
        <v>0.22096706780535114</v>
      </c>
      <c r="AI73" s="40">
        <f t="shared" si="64"/>
        <v>0.22540316003392349</v>
      </c>
      <c r="AJ73" s="39">
        <f t="shared" si="65"/>
        <v>2.4444444444444453E-2</v>
      </c>
      <c r="AK73" s="37">
        <f t="shared" si="56"/>
        <v>5.8528231174856241E-2</v>
      </c>
      <c r="AL73" s="37">
        <f t="shared" si="57"/>
        <v>1.7600000000000001E-2</v>
      </c>
      <c r="AM73" s="37">
        <f t="shared" si="58"/>
        <v>0.59752000000000005</v>
      </c>
      <c r="AN73" s="40">
        <f t="shared" si="66"/>
        <v>0.61512</v>
      </c>
      <c r="AO73" s="39">
        <f t="shared" si="59"/>
        <v>1.9011823836738639E-3</v>
      </c>
      <c r="AP73" s="37">
        <f t="shared" si="60"/>
        <v>4.5441000000000002E-2</v>
      </c>
      <c r="AQ73" s="40">
        <f t="shared" si="61"/>
        <v>1.0800000000000001E-2</v>
      </c>
      <c r="AR73" s="39">
        <f t="shared" si="67"/>
        <v>0.91986095683017755</v>
      </c>
      <c r="AS73" s="37">
        <f t="shared" si="68"/>
        <v>2.97</v>
      </c>
      <c r="AT73" s="40">
        <f t="shared" si="69"/>
        <v>76.352343514618411</v>
      </c>
    </row>
    <row r="74" spans="17:46" x14ac:dyDescent="0.25">
      <c r="Q74">
        <v>67</v>
      </c>
      <c r="R74" s="39">
        <f t="shared" si="45"/>
        <v>135</v>
      </c>
      <c r="S74" s="37">
        <f t="shared" si="46"/>
        <v>2.2333333333333337E-2</v>
      </c>
      <c r="T74" s="37">
        <f t="shared" si="47"/>
        <v>24</v>
      </c>
      <c r="U74" s="40">
        <f t="shared" si="48"/>
        <v>0.13958333333333334</v>
      </c>
      <c r="V74" s="39">
        <f t="shared" si="49"/>
        <v>2</v>
      </c>
      <c r="W74" s="37">
        <f t="shared" si="50"/>
        <v>0.82222222222222219</v>
      </c>
      <c r="X74" s="40">
        <f t="shared" si="51"/>
        <v>0.17777777777777781</v>
      </c>
      <c r="Y74" s="39">
        <f t="shared" si="52"/>
        <v>6.5953654188948316E-2</v>
      </c>
      <c r="Z74" s="37">
        <f t="shared" si="28"/>
        <v>0.1725601604278075</v>
      </c>
      <c r="AA74" s="37">
        <f t="shared" si="29"/>
        <v>0.14087582233838919</v>
      </c>
      <c r="AB74" s="37">
        <v>0</v>
      </c>
      <c r="AC74" s="37">
        <f t="shared" si="53"/>
        <v>2.1830597051469138E-2</v>
      </c>
      <c r="AD74" s="40">
        <f t="shared" si="62"/>
        <v>2.1830597051469138E-2</v>
      </c>
      <c r="AE74" s="39">
        <f t="shared" si="70"/>
        <v>0.11476851851851852</v>
      </c>
      <c r="AF74" s="37">
        <f t="shared" si="63"/>
        <v>0.12774122286196363</v>
      </c>
      <c r="AG74" s="37">
        <f t="shared" si="54"/>
        <v>4.5689896051155608E-3</v>
      </c>
      <c r="AH74" s="37">
        <f t="shared" si="55"/>
        <v>0.22431505368118979</v>
      </c>
      <c r="AI74" s="40">
        <f t="shared" si="64"/>
        <v>0.22888404328630535</v>
      </c>
      <c r="AJ74" s="39">
        <f t="shared" si="65"/>
        <v>2.4814814814814821E-2</v>
      </c>
      <c r="AK74" s="37">
        <f t="shared" si="56"/>
        <v>5.939846211180503E-2</v>
      </c>
      <c r="AL74" s="37">
        <f t="shared" si="57"/>
        <v>1.786666666666667E-2</v>
      </c>
      <c r="AM74" s="37">
        <f t="shared" si="58"/>
        <v>0.59752000000000005</v>
      </c>
      <c r="AN74" s="40">
        <f t="shared" si="66"/>
        <v>0.61538666666666675</v>
      </c>
      <c r="AO74" s="39">
        <f t="shared" si="59"/>
        <v>1.958138402192383E-3</v>
      </c>
      <c r="AP74" s="37">
        <f t="shared" si="60"/>
        <v>4.5441000000000002E-2</v>
      </c>
      <c r="AQ74" s="40">
        <f t="shared" si="61"/>
        <v>1.0800000000000001E-2</v>
      </c>
      <c r="AR74" s="39">
        <f t="shared" si="67"/>
        <v>0.9243004454066337</v>
      </c>
      <c r="AS74" s="37">
        <f t="shared" si="68"/>
        <v>3.0150000000000006</v>
      </c>
      <c r="AT74" s="40">
        <f t="shared" si="69"/>
        <v>76.53643183057028</v>
      </c>
    </row>
    <row r="75" spans="17:46" x14ac:dyDescent="0.25">
      <c r="Q75">
        <v>68</v>
      </c>
      <c r="R75" s="39">
        <f t="shared" si="45"/>
        <v>135</v>
      </c>
      <c r="S75" s="37">
        <f t="shared" si="46"/>
        <v>2.2666666666666668E-2</v>
      </c>
      <c r="T75" s="37">
        <f t="shared" si="47"/>
        <v>24</v>
      </c>
      <c r="U75" s="40">
        <f t="shared" si="48"/>
        <v>0.14166666666666666</v>
      </c>
      <c r="V75" s="39">
        <f t="shared" si="49"/>
        <v>2</v>
      </c>
      <c r="W75" s="37">
        <f t="shared" si="50"/>
        <v>0.82222222222222219</v>
      </c>
      <c r="X75" s="40">
        <f t="shared" si="51"/>
        <v>0.17777777777777781</v>
      </c>
      <c r="Y75" s="39">
        <f t="shared" si="52"/>
        <v>6.5953654188948316E-2</v>
      </c>
      <c r="Z75" s="37">
        <f t="shared" si="28"/>
        <v>0.17464349376114083</v>
      </c>
      <c r="AA75" s="37">
        <f t="shared" si="29"/>
        <v>0.14294031908288643</v>
      </c>
      <c r="AB75" s="37">
        <v>0</v>
      </c>
      <c r="AC75" s="37">
        <f t="shared" si="53"/>
        <v>2.2475128301469128E-2</v>
      </c>
      <c r="AD75" s="40">
        <f t="shared" si="62"/>
        <v>2.2475128301469128E-2</v>
      </c>
      <c r="AE75" s="39">
        <f t="shared" si="70"/>
        <v>0.11648148148148148</v>
      </c>
      <c r="AF75" s="37">
        <f t="shared" si="63"/>
        <v>0.12961323563434096</v>
      </c>
      <c r="AG75" s="37">
        <f t="shared" si="54"/>
        <v>4.7038854384488949E-3</v>
      </c>
      <c r="AH75" s="37">
        <f t="shared" si="55"/>
        <v>0.22766303955702843</v>
      </c>
      <c r="AI75" s="40">
        <f t="shared" si="64"/>
        <v>0.23236692499547734</v>
      </c>
      <c r="AJ75" s="39">
        <f t="shared" si="65"/>
        <v>2.5185185185185189E-2</v>
      </c>
      <c r="AK75" s="37">
        <f t="shared" si="56"/>
        <v>6.0268930369753573E-2</v>
      </c>
      <c r="AL75" s="37">
        <f t="shared" si="57"/>
        <v>1.8133333333333335E-2</v>
      </c>
      <c r="AM75" s="37">
        <f t="shared" si="58"/>
        <v>0.59752000000000005</v>
      </c>
      <c r="AN75" s="40">
        <f t="shared" si="66"/>
        <v>0.61565333333333339</v>
      </c>
      <c r="AO75" s="39">
        <f t="shared" si="59"/>
        <v>2.0159509021923832E-3</v>
      </c>
      <c r="AP75" s="37">
        <f t="shared" si="60"/>
        <v>4.5441000000000002E-2</v>
      </c>
      <c r="AQ75" s="40">
        <f t="shared" si="61"/>
        <v>1.0800000000000001E-2</v>
      </c>
      <c r="AR75" s="39">
        <f t="shared" si="67"/>
        <v>0.92875233753247233</v>
      </c>
      <c r="AS75" s="37">
        <f t="shared" si="68"/>
        <v>3.06</v>
      </c>
      <c r="AT75" s="40">
        <f t="shared" si="69"/>
        <v>76.715718125858416</v>
      </c>
    </row>
    <row r="76" spans="17:46" x14ac:dyDescent="0.25">
      <c r="Q76">
        <v>69</v>
      </c>
      <c r="R76" s="39">
        <f t="shared" si="45"/>
        <v>135</v>
      </c>
      <c r="S76" s="37">
        <f t="shared" si="46"/>
        <v>2.3000000000000003E-2</v>
      </c>
      <c r="T76" s="37">
        <f t="shared" si="47"/>
        <v>24</v>
      </c>
      <c r="U76" s="40">
        <f t="shared" si="48"/>
        <v>0.14375000000000002</v>
      </c>
      <c r="V76" s="39">
        <f t="shared" si="49"/>
        <v>2</v>
      </c>
      <c r="W76" s="37">
        <f t="shared" si="50"/>
        <v>0.82222222222222219</v>
      </c>
      <c r="X76" s="40">
        <f t="shared" si="51"/>
        <v>0.17777777777777781</v>
      </c>
      <c r="Y76" s="39">
        <f t="shared" si="52"/>
        <v>6.5953654188948316E-2</v>
      </c>
      <c r="Z76" s="37">
        <f t="shared" si="28"/>
        <v>0.17672682709447418</v>
      </c>
      <c r="AA76" s="37">
        <f t="shared" si="29"/>
        <v>0.14500535464276121</v>
      </c>
      <c r="AB76" s="37">
        <v>0</v>
      </c>
      <c r="AC76" s="37">
        <f t="shared" si="53"/>
        <v>2.3129208162580246E-2</v>
      </c>
      <c r="AD76" s="40">
        <f t="shared" si="62"/>
        <v>2.3129208162580246E-2</v>
      </c>
      <c r="AE76" s="39">
        <f t="shared" si="70"/>
        <v>0.11819444444444445</v>
      </c>
      <c r="AF76" s="37">
        <f t="shared" si="63"/>
        <v>0.13148573698548272</v>
      </c>
      <c r="AG76" s="37">
        <f t="shared" si="54"/>
        <v>4.8407797285723508E-3</v>
      </c>
      <c r="AH76" s="37">
        <f t="shared" si="55"/>
        <v>0.23101102543286714</v>
      </c>
      <c r="AI76" s="40">
        <f t="shared" si="64"/>
        <v>0.2358518051614395</v>
      </c>
      <c r="AJ76" s="39">
        <f t="shared" si="65"/>
        <v>2.5555555555555564E-2</v>
      </c>
      <c r="AK76" s="37">
        <f t="shared" si="56"/>
        <v>6.1139625812212939E-2</v>
      </c>
      <c r="AL76" s="37">
        <f t="shared" si="57"/>
        <v>1.8400000000000003E-2</v>
      </c>
      <c r="AM76" s="37">
        <f t="shared" si="58"/>
        <v>0.59752000000000005</v>
      </c>
      <c r="AN76" s="40">
        <f t="shared" si="66"/>
        <v>0.61592000000000002</v>
      </c>
      <c r="AO76" s="39">
        <f t="shared" si="59"/>
        <v>2.0746198836738643E-3</v>
      </c>
      <c r="AP76" s="37">
        <f t="shared" si="60"/>
        <v>4.5441000000000002E-2</v>
      </c>
      <c r="AQ76" s="40">
        <f t="shared" si="61"/>
        <v>1.0800000000000001E-2</v>
      </c>
      <c r="AR76" s="39">
        <f t="shared" si="67"/>
        <v>0.93321663320769366</v>
      </c>
      <c r="AS76" s="37">
        <f t="shared" si="68"/>
        <v>3.1050000000000004</v>
      </c>
      <c r="AT76" s="40">
        <f t="shared" si="69"/>
        <v>76.890377164674092</v>
      </c>
    </row>
    <row r="77" spans="17:46" x14ac:dyDescent="0.25">
      <c r="Q77">
        <v>70</v>
      </c>
      <c r="R77" s="39">
        <f t="shared" si="45"/>
        <v>135</v>
      </c>
      <c r="S77" s="37">
        <f t="shared" si="46"/>
        <v>2.3333333333333338E-2</v>
      </c>
      <c r="T77" s="37">
        <f t="shared" si="47"/>
        <v>24</v>
      </c>
      <c r="U77" s="40">
        <f t="shared" si="48"/>
        <v>0.14583333333333337</v>
      </c>
      <c r="V77" s="39">
        <f t="shared" si="49"/>
        <v>2</v>
      </c>
      <c r="W77" s="37">
        <f t="shared" si="50"/>
        <v>0.82222222222222219</v>
      </c>
      <c r="X77" s="40">
        <f t="shared" si="51"/>
        <v>0.17777777777777781</v>
      </c>
      <c r="Y77" s="39">
        <f t="shared" si="52"/>
        <v>6.5953654188948316E-2</v>
      </c>
      <c r="Z77" s="37">
        <f t="shared" si="28"/>
        <v>0.17881016042780754</v>
      </c>
      <c r="AA77" s="37">
        <f t="shared" si="29"/>
        <v>0.14707090632135258</v>
      </c>
      <c r="AB77" s="37">
        <v>0</v>
      </c>
      <c r="AC77" s="37">
        <f t="shared" si="53"/>
        <v>2.3792836634802476E-2</v>
      </c>
      <c r="AD77" s="40">
        <f t="shared" si="62"/>
        <v>2.3792836634802476E-2</v>
      </c>
      <c r="AE77" s="39">
        <f t="shared" si="70"/>
        <v>0.11990740740740743</v>
      </c>
      <c r="AF77" s="37">
        <f t="shared" si="63"/>
        <v>0.13335870633485802</v>
      </c>
      <c r="AG77" s="37">
        <f t="shared" si="54"/>
        <v>4.9796724754859328E-3</v>
      </c>
      <c r="AH77" s="37">
        <f t="shared" si="55"/>
        <v>0.23435901130870579</v>
      </c>
      <c r="AI77" s="40">
        <f t="shared" si="64"/>
        <v>0.23933868378419171</v>
      </c>
      <c r="AJ77" s="39">
        <f t="shared" si="65"/>
        <v>2.5925925925925939E-2</v>
      </c>
      <c r="AK77" s="37">
        <f t="shared" si="56"/>
        <v>6.2010538869430649E-2</v>
      </c>
      <c r="AL77" s="37">
        <f t="shared" si="57"/>
        <v>1.8666666666666672E-2</v>
      </c>
      <c r="AM77" s="37">
        <f t="shared" si="58"/>
        <v>0.59752000000000005</v>
      </c>
      <c r="AN77" s="40">
        <f t="shared" si="66"/>
        <v>0.61618666666666677</v>
      </c>
      <c r="AO77" s="39">
        <f t="shared" si="59"/>
        <v>2.1341453466368278E-3</v>
      </c>
      <c r="AP77" s="37">
        <f t="shared" si="60"/>
        <v>4.5441000000000002E-2</v>
      </c>
      <c r="AQ77" s="40">
        <f t="shared" si="61"/>
        <v>1.0800000000000001E-2</v>
      </c>
      <c r="AR77" s="39">
        <f t="shared" si="67"/>
        <v>0.93769333243229769</v>
      </c>
      <c r="AS77" s="37">
        <f t="shared" si="68"/>
        <v>3.1500000000000008</v>
      </c>
      <c r="AT77" s="40">
        <f t="shared" si="69"/>
        <v>77.060575337378793</v>
      </c>
    </row>
    <row r="78" spans="17:46" x14ac:dyDescent="0.25">
      <c r="Q78">
        <v>71</v>
      </c>
      <c r="R78" s="39">
        <f t="shared" si="45"/>
        <v>135</v>
      </c>
      <c r="S78" s="37">
        <f t="shared" si="46"/>
        <v>2.3666666666666669E-2</v>
      </c>
      <c r="T78" s="37">
        <f t="shared" si="47"/>
        <v>24</v>
      </c>
      <c r="U78" s="40">
        <f t="shared" si="48"/>
        <v>0.14791666666666667</v>
      </c>
      <c r="V78" s="39">
        <f t="shared" si="49"/>
        <v>2</v>
      </c>
      <c r="W78" s="37">
        <f t="shared" si="50"/>
        <v>0.82222222222222219</v>
      </c>
      <c r="X78" s="40">
        <f t="shared" si="51"/>
        <v>0.17777777777777781</v>
      </c>
      <c r="Y78" s="39">
        <f t="shared" si="52"/>
        <v>6.5953654188948316E-2</v>
      </c>
      <c r="Z78" s="37">
        <f t="shared" si="28"/>
        <v>0.18089349376114083</v>
      </c>
      <c r="AA78" s="37">
        <f t="shared" si="29"/>
        <v>0.14913695267387866</v>
      </c>
      <c r="AB78" s="37">
        <v>0</v>
      </c>
      <c r="AC78" s="37">
        <f t="shared" si="53"/>
        <v>2.4466013718135799E-2</v>
      </c>
      <c r="AD78" s="40">
        <f t="shared" si="62"/>
        <v>2.4466013718135799E-2</v>
      </c>
      <c r="AE78" s="39">
        <f t="shared" si="70"/>
        <v>0.12162037037037036</v>
      </c>
      <c r="AF78" s="37">
        <f t="shared" si="63"/>
        <v>0.13523212423709563</v>
      </c>
      <c r="AG78" s="37">
        <f t="shared" si="54"/>
        <v>5.1205636791896358E-3</v>
      </c>
      <c r="AH78" s="37">
        <f t="shared" si="55"/>
        <v>0.23770699718454438</v>
      </c>
      <c r="AI78" s="40">
        <f t="shared" si="64"/>
        <v>0.24282756086373403</v>
      </c>
      <c r="AJ78" s="39">
        <f t="shared" si="65"/>
        <v>2.62962962962963E-2</v>
      </c>
      <c r="AK78" s="37">
        <f t="shared" si="56"/>
        <v>6.2881660499492731E-2</v>
      </c>
      <c r="AL78" s="37">
        <f t="shared" si="57"/>
        <v>1.8933333333333337E-2</v>
      </c>
      <c r="AM78" s="37">
        <f t="shared" si="58"/>
        <v>0.59752000000000005</v>
      </c>
      <c r="AN78" s="40">
        <f t="shared" si="66"/>
        <v>0.61645333333333341</v>
      </c>
      <c r="AO78" s="39">
        <f t="shared" si="59"/>
        <v>2.1945272910812719E-3</v>
      </c>
      <c r="AP78" s="37">
        <f t="shared" si="60"/>
        <v>4.5441000000000002E-2</v>
      </c>
      <c r="AQ78" s="40">
        <f t="shared" si="61"/>
        <v>1.0800000000000001E-2</v>
      </c>
      <c r="AR78" s="39">
        <f t="shared" si="67"/>
        <v>0.94218243520628453</v>
      </c>
      <c r="AS78" s="37">
        <f t="shared" si="68"/>
        <v>3.1950000000000003</v>
      </c>
      <c r="AT78" s="40">
        <f t="shared" si="69"/>
        <v>77.226471156104438</v>
      </c>
    </row>
    <row r="79" spans="17:46" x14ac:dyDescent="0.25">
      <c r="Q79">
        <v>72</v>
      </c>
      <c r="R79" s="39">
        <f t="shared" si="45"/>
        <v>135</v>
      </c>
      <c r="S79" s="37">
        <f t="shared" si="46"/>
        <v>2.4000000000000004E-2</v>
      </c>
      <c r="T79" s="37">
        <f t="shared" si="47"/>
        <v>24</v>
      </c>
      <c r="U79" s="40">
        <f t="shared" si="48"/>
        <v>0.15000000000000002</v>
      </c>
      <c r="V79" s="39">
        <f t="shared" si="49"/>
        <v>2</v>
      </c>
      <c r="W79" s="37">
        <f t="shared" si="50"/>
        <v>0.82222222222222219</v>
      </c>
      <c r="X79" s="40">
        <f t="shared" si="51"/>
        <v>0.17777777777777781</v>
      </c>
      <c r="Y79" s="39">
        <f t="shared" si="52"/>
        <v>6.5953654188948316E-2</v>
      </c>
      <c r="Z79" s="37">
        <f t="shared" si="28"/>
        <v>0.18297682709447419</v>
      </c>
      <c r="AA79" s="37">
        <f t="shared" si="29"/>
        <v>0.15120347342264645</v>
      </c>
      <c r="AB79" s="37">
        <v>0</v>
      </c>
      <c r="AC79" s="37">
        <f t="shared" si="53"/>
        <v>2.5148739412580248E-2</v>
      </c>
      <c r="AD79" s="40">
        <f t="shared" si="62"/>
        <v>2.5148739412580248E-2</v>
      </c>
      <c r="AE79" s="39">
        <f t="shared" si="70"/>
        <v>0.12333333333333335</v>
      </c>
      <c r="AF79" s="37">
        <f t="shared" si="63"/>
        <v>0.1371059723050993</v>
      </c>
      <c r="AG79" s="37">
        <f t="shared" si="54"/>
        <v>5.2634533396834641E-3</v>
      </c>
      <c r="AH79" s="37">
        <f t="shared" si="55"/>
        <v>0.24105498306038309</v>
      </c>
      <c r="AI79" s="40">
        <f t="shared" si="64"/>
        <v>0.24631843640006656</v>
      </c>
      <c r="AJ79" s="39">
        <f t="shared" si="65"/>
        <v>2.6666666666666675E-2</v>
      </c>
      <c r="AK79" s="37">
        <f t="shared" si="56"/>
        <v>6.3752982152573107E-2</v>
      </c>
      <c r="AL79" s="37">
        <f t="shared" si="57"/>
        <v>1.9200000000000005E-2</v>
      </c>
      <c r="AM79" s="37">
        <f t="shared" si="58"/>
        <v>0.59752000000000005</v>
      </c>
      <c r="AN79" s="40">
        <f t="shared" si="66"/>
        <v>0.61672000000000005</v>
      </c>
      <c r="AO79" s="39">
        <f t="shared" si="59"/>
        <v>2.2557657170071987E-3</v>
      </c>
      <c r="AP79" s="37">
        <f t="shared" si="60"/>
        <v>4.5441000000000002E-2</v>
      </c>
      <c r="AQ79" s="40">
        <f t="shared" si="61"/>
        <v>1.0800000000000001E-2</v>
      </c>
      <c r="AR79" s="39">
        <f t="shared" si="67"/>
        <v>0.94668394152965407</v>
      </c>
      <c r="AS79" s="37">
        <f t="shared" si="68"/>
        <v>3.2400000000000007</v>
      </c>
      <c r="AT79" s="40">
        <f t="shared" si="69"/>
        <v>77.388215715567682</v>
      </c>
    </row>
    <row r="80" spans="17:46" x14ac:dyDescent="0.25">
      <c r="Q80">
        <v>73</v>
      </c>
      <c r="R80" s="39">
        <f t="shared" si="45"/>
        <v>135</v>
      </c>
      <c r="S80" s="37">
        <f t="shared" si="46"/>
        <v>2.4333333333333335E-2</v>
      </c>
      <c r="T80" s="37">
        <f t="shared" si="47"/>
        <v>24</v>
      </c>
      <c r="U80" s="40">
        <f t="shared" si="48"/>
        <v>0.15208333333333332</v>
      </c>
      <c r="V80" s="39">
        <f t="shared" si="49"/>
        <v>2</v>
      </c>
      <c r="W80" s="37">
        <f t="shared" si="50"/>
        <v>0.82222222222222219</v>
      </c>
      <c r="X80" s="40">
        <f t="shared" si="51"/>
        <v>0.17777777777777781</v>
      </c>
      <c r="Y80" s="39">
        <f t="shared" si="52"/>
        <v>6.5953654188948316E-2</v>
      </c>
      <c r="Z80" s="37">
        <f t="shared" ref="Z80:Z143" si="71">CHOOSE(V80,Y80,U80+(0.5*Y80))</f>
        <v>0.18506016042780749</v>
      </c>
      <c r="AA80" s="37">
        <f t="shared" ref="AA80:AA143" si="72">CHOOSE(V80,Z80*SQRT((W80+X80)/3),SQRT((U80^2)+((Y80^2)/12)))</f>
        <v>0.15327044937903303</v>
      </c>
      <c r="AB80" s="37">
        <v>0</v>
      </c>
      <c r="AC80" s="37">
        <f t="shared" si="53"/>
        <v>2.58410137181358E-2</v>
      </c>
      <c r="AD80" s="40">
        <f t="shared" si="62"/>
        <v>2.58410137181358E-2</v>
      </c>
      <c r="AE80" s="39">
        <f t="shared" si="70"/>
        <v>0.12504629629629627</v>
      </c>
      <c r="AF80" s="37">
        <f t="shared" si="63"/>
        <v>0.13898023313930308</v>
      </c>
      <c r="AG80" s="37">
        <f t="shared" si="54"/>
        <v>5.4083414569674115E-3</v>
      </c>
      <c r="AH80" s="37">
        <f t="shared" si="55"/>
        <v>0.24440296893622171</v>
      </c>
      <c r="AI80" s="40">
        <f t="shared" si="64"/>
        <v>0.24981131039318913</v>
      </c>
      <c r="AJ80" s="39">
        <f t="shared" si="65"/>
        <v>2.703703703703704E-2</v>
      </c>
      <c r="AK80" s="37">
        <f t="shared" si="56"/>
        <v>6.462449573803794E-2</v>
      </c>
      <c r="AL80" s="37">
        <f t="shared" si="57"/>
        <v>1.946666666666667E-2</v>
      </c>
      <c r="AM80" s="37">
        <f t="shared" si="58"/>
        <v>0.59752000000000005</v>
      </c>
      <c r="AN80" s="40">
        <f t="shared" si="66"/>
        <v>0.61698666666666668</v>
      </c>
      <c r="AO80" s="39">
        <f t="shared" si="59"/>
        <v>2.3178606244146044E-3</v>
      </c>
      <c r="AP80" s="37">
        <f t="shared" si="60"/>
        <v>4.5441000000000002E-2</v>
      </c>
      <c r="AQ80" s="40">
        <f t="shared" si="61"/>
        <v>1.0800000000000001E-2</v>
      </c>
      <c r="AR80" s="39">
        <f t="shared" si="67"/>
        <v>0.95119785140240631</v>
      </c>
      <c r="AS80" s="37">
        <f t="shared" si="68"/>
        <v>3.2850000000000001</v>
      </c>
      <c r="AT80" s="40">
        <f t="shared" si="69"/>
        <v>77.545953121913101</v>
      </c>
    </row>
    <row r="81" spans="17:46" x14ac:dyDescent="0.25">
      <c r="Q81">
        <v>74</v>
      </c>
      <c r="R81" s="39">
        <f t="shared" si="45"/>
        <v>135</v>
      </c>
      <c r="S81" s="37">
        <f t="shared" si="46"/>
        <v>2.466666666666667E-2</v>
      </c>
      <c r="T81" s="37">
        <f t="shared" si="47"/>
        <v>24</v>
      </c>
      <c r="U81" s="40">
        <f t="shared" si="48"/>
        <v>0.15416666666666667</v>
      </c>
      <c r="V81" s="39">
        <f t="shared" si="49"/>
        <v>2</v>
      </c>
      <c r="W81" s="37">
        <f t="shared" si="50"/>
        <v>0.82222222222222219</v>
      </c>
      <c r="X81" s="40">
        <f t="shared" si="51"/>
        <v>0.17777777777777781</v>
      </c>
      <c r="Y81" s="39">
        <f t="shared" si="52"/>
        <v>6.5953654188948316E-2</v>
      </c>
      <c r="Z81" s="37">
        <f t="shared" si="71"/>
        <v>0.18714349376114084</v>
      </c>
      <c r="AA81" s="37">
        <f t="shared" si="72"/>
        <v>0.15533786237161906</v>
      </c>
      <c r="AB81" s="37">
        <v>0</v>
      </c>
      <c r="AC81" s="37">
        <f t="shared" si="53"/>
        <v>2.6542836634802475E-2</v>
      </c>
      <c r="AD81" s="40">
        <f t="shared" si="62"/>
        <v>2.6542836634802475E-2</v>
      </c>
      <c r="AE81" s="39">
        <f t="shared" si="70"/>
        <v>0.12675925925925927</v>
      </c>
      <c r="AF81" s="37">
        <f t="shared" si="63"/>
        <v>0.14085489026250542</v>
      </c>
      <c r="AG81" s="37">
        <f t="shared" si="54"/>
        <v>5.5552280310414851E-3</v>
      </c>
      <c r="AH81" s="37">
        <f t="shared" si="55"/>
        <v>0.24775095481206036</v>
      </c>
      <c r="AI81" s="40">
        <f t="shared" si="64"/>
        <v>0.25330618284310186</v>
      </c>
      <c r="AJ81" s="39">
        <f t="shared" si="65"/>
        <v>2.7407407407407415E-2</v>
      </c>
      <c r="AK81" s="37">
        <f t="shared" si="56"/>
        <v>6.5496193594144159E-2</v>
      </c>
      <c r="AL81" s="37">
        <f t="shared" si="57"/>
        <v>1.9733333333333339E-2</v>
      </c>
      <c r="AM81" s="37">
        <f t="shared" si="58"/>
        <v>0.59752000000000005</v>
      </c>
      <c r="AN81" s="40">
        <f t="shared" si="66"/>
        <v>0.61725333333333343</v>
      </c>
      <c r="AO81" s="39">
        <f t="shared" si="59"/>
        <v>2.3808120133034932E-3</v>
      </c>
      <c r="AP81" s="37">
        <f t="shared" si="60"/>
        <v>4.5441000000000002E-2</v>
      </c>
      <c r="AQ81" s="40">
        <f t="shared" si="61"/>
        <v>1.0800000000000001E-2</v>
      </c>
      <c r="AR81" s="39">
        <f t="shared" si="67"/>
        <v>0.95572416482454126</v>
      </c>
      <c r="AS81" s="37">
        <f t="shared" si="68"/>
        <v>3.3300000000000005</v>
      </c>
      <c r="AT81" s="40">
        <f t="shared" si="69"/>
        <v>77.699820892143933</v>
      </c>
    </row>
    <row r="82" spans="17:46" x14ac:dyDescent="0.25">
      <c r="Q82">
        <v>75</v>
      </c>
      <c r="R82" s="39">
        <f t="shared" si="45"/>
        <v>135</v>
      </c>
      <c r="S82" s="37">
        <f t="shared" si="46"/>
        <v>2.5000000000000005E-2</v>
      </c>
      <c r="T82" s="37">
        <f t="shared" si="47"/>
        <v>24</v>
      </c>
      <c r="U82" s="40">
        <f t="shared" si="48"/>
        <v>0.15625</v>
      </c>
      <c r="V82" s="39">
        <f t="shared" si="49"/>
        <v>2</v>
      </c>
      <c r="W82" s="37">
        <f t="shared" si="50"/>
        <v>0.82222222222222219</v>
      </c>
      <c r="X82" s="40">
        <f t="shared" si="51"/>
        <v>0.17777777777777781</v>
      </c>
      <c r="Y82" s="39">
        <f t="shared" si="52"/>
        <v>6.5953654188948316E-2</v>
      </c>
      <c r="Z82" s="37">
        <f t="shared" si="71"/>
        <v>0.18922682709447416</v>
      </c>
      <c r="AA82" s="37">
        <f t="shared" si="72"/>
        <v>0.15740569517991701</v>
      </c>
      <c r="AB82" s="37">
        <v>0</v>
      </c>
      <c r="AC82" s="37">
        <f t="shared" si="53"/>
        <v>2.7254208162580246E-2</v>
      </c>
      <c r="AD82" s="40">
        <f t="shared" si="62"/>
        <v>2.7254208162580246E-2</v>
      </c>
      <c r="AE82" s="39">
        <f t="shared" si="70"/>
        <v>0.12847222222222221</v>
      </c>
      <c r="AF82" s="37">
        <f t="shared" si="63"/>
        <v>0.14272992805977613</v>
      </c>
      <c r="AG82" s="37">
        <f t="shared" si="54"/>
        <v>5.7041130619056839E-3</v>
      </c>
      <c r="AH82" s="37">
        <f t="shared" si="55"/>
        <v>0.25109894068789901</v>
      </c>
      <c r="AI82" s="40">
        <f t="shared" si="64"/>
        <v>0.25680305374980467</v>
      </c>
      <c r="AJ82" s="39">
        <f t="shared" si="65"/>
        <v>2.7777777777777783E-2</v>
      </c>
      <c r="AK82" s="37">
        <f t="shared" si="56"/>
        <v>6.6368068460096699E-2</v>
      </c>
      <c r="AL82" s="37">
        <f t="shared" si="57"/>
        <v>2.0000000000000004E-2</v>
      </c>
      <c r="AM82" s="37">
        <f t="shared" si="58"/>
        <v>0.59752000000000005</v>
      </c>
      <c r="AN82" s="40">
        <f t="shared" si="66"/>
        <v>0.61752000000000007</v>
      </c>
      <c r="AO82" s="39">
        <f t="shared" si="59"/>
        <v>2.4446198836738644E-3</v>
      </c>
      <c r="AP82" s="37">
        <f t="shared" si="60"/>
        <v>4.5441000000000002E-2</v>
      </c>
      <c r="AQ82" s="40">
        <f t="shared" si="61"/>
        <v>1.0800000000000001E-2</v>
      </c>
      <c r="AR82" s="39">
        <f t="shared" si="67"/>
        <v>0.9602628817960589</v>
      </c>
      <c r="AS82" s="37">
        <f t="shared" si="68"/>
        <v>3.3750000000000004</v>
      </c>
      <c r="AT82" s="40">
        <f t="shared" si="69"/>
        <v>77.849950326467138</v>
      </c>
    </row>
    <row r="83" spans="17:46" x14ac:dyDescent="0.25">
      <c r="Q83">
        <v>76</v>
      </c>
      <c r="R83" s="39">
        <f t="shared" si="45"/>
        <v>135</v>
      </c>
      <c r="S83" s="37">
        <f t="shared" si="46"/>
        <v>2.5333333333333336E-2</v>
      </c>
      <c r="T83" s="37">
        <f t="shared" si="47"/>
        <v>24</v>
      </c>
      <c r="U83" s="40">
        <f t="shared" si="48"/>
        <v>0.15833333333333335</v>
      </c>
      <c r="V83" s="39">
        <f t="shared" si="49"/>
        <v>2</v>
      </c>
      <c r="W83" s="37">
        <f t="shared" si="50"/>
        <v>0.82222222222222219</v>
      </c>
      <c r="X83" s="40">
        <f t="shared" si="51"/>
        <v>0.17777777777777781</v>
      </c>
      <c r="Y83" s="39">
        <f t="shared" si="52"/>
        <v>6.5953654188948316E-2</v>
      </c>
      <c r="Z83" s="37">
        <f t="shared" si="71"/>
        <v>0.19131016042780752</v>
      </c>
      <c r="AA83" s="37">
        <f t="shared" si="72"/>
        <v>0.15947393147319533</v>
      </c>
      <c r="AB83" s="37">
        <v>0</v>
      </c>
      <c r="AC83" s="37">
        <f t="shared" si="53"/>
        <v>2.797512830146914E-2</v>
      </c>
      <c r="AD83" s="40">
        <f t="shared" si="62"/>
        <v>2.797512830146914E-2</v>
      </c>
      <c r="AE83" s="39">
        <f t="shared" si="70"/>
        <v>0.13018518518518521</v>
      </c>
      <c r="AF83" s="37">
        <f t="shared" si="63"/>
        <v>0.1446053317229842</v>
      </c>
      <c r="AG83" s="37">
        <f t="shared" si="54"/>
        <v>5.8549965495600046E-3</v>
      </c>
      <c r="AH83" s="37">
        <f t="shared" si="55"/>
        <v>0.25444692656373769</v>
      </c>
      <c r="AI83" s="40">
        <f t="shared" si="64"/>
        <v>0.2603019231132977</v>
      </c>
      <c r="AJ83" s="39">
        <f t="shared" si="65"/>
        <v>2.8148148148148158E-2</v>
      </c>
      <c r="AK83" s="37">
        <f t="shared" si="56"/>
        <v>6.7240113450254477E-2</v>
      </c>
      <c r="AL83" s="37">
        <f t="shared" si="57"/>
        <v>2.0266666666666669E-2</v>
      </c>
      <c r="AM83" s="37">
        <f t="shared" si="58"/>
        <v>0.59752000000000005</v>
      </c>
      <c r="AN83" s="40">
        <f t="shared" si="66"/>
        <v>0.61778666666666671</v>
      </c>
      <c r="AO83" s="39">
        <f t="shared" si="59"/>
        <v>2.5092842355257162E-3</v>
      </c>
      <c r="AP83" s="37">
        <f t="shared" si="60"/>
        <v>4.5441000000000002E-2</v>
      </c>
      <c r="AQ83" s="40">
        <f t="shared" si="61"/>
        <v>1.0800000000000001E-2</v>
      </c>
      <c r="AR83" s="39">
        <f t="shared" si="67"/>
        <v>0.96481400231695924</v>
      </c>
      <c r="AS83" s="37">
        <f t="shared" si="68"/>
        <v>3.4200000000000004</v>
      </c>
      <c r="AT83" s="40">
        <f t="shared" si="69"/>
        <v>77.996466855671727</v>
      </c>
    </row>
    <row r="84" spans="17:46" x14ac:dyDescent="0.25">
      <c r="Q84">
        <v>77</v>
      </c>
      <c r="R84" s="39">
        <f t="shared" si="45"/>
        <v>135</v>
      </c>
      <c r="S84" s="37">
        <f t="shared" si="46"/>
        <v>2.5666666666666671E-2</v>
      </c>
      <c r="T84" s="37">
        <f t="shared" si="47"/>
        <v>24</v>
      </c>
      <c r="U84" s="40">
        <f t="shared" si="48"/>
        <v>0.16041666666666668</v>
      </c>
      <c r="V84" s="39">
        <f t="shared" si="49"/>
        <v>2</v>
      </c>
      <c r="W84" s="37">
        <f t="shared" si="50"/>
        <v>0.82222222222222219</v>
      </c>
      <c r="X84" s="40">
        <f t="shared" si="51"/>
        <v>0.17777777777777781</v>
      </c>
      <c r="Y84" s="39">
        <f t="shared" si="52"/>
        <v>6.5953654188948316E-2</v>
      </c>
      <c r="Z84" s="37">
        <f t="shared" si="71"/>
        <v>0.19339349376114084</v>
      </c>
      <c r="AA84" s="37">
        <f t="shared" si="72"/>
        <v>0.16154255575394799</v>
      </c>
      <c r="AB84" s="37">
        <v>0</v>
      </c>
      <c r="AC84" s="37">
        <f t="shared" si="53"/>
        <v>2.8705597051469137E-2</v>
      </c>
      <c r="AD84" s="40">
        <f t="shared" si="62"/>
        <v>2.8705597051469137E-2</v>
      </c>
      <c r="AE84" s="39">
        <f t="shared" si="70"/>
        <v>0.13189814814814815</v>
      </c>
      <c r="AF84" s="37">
        <f t="shared" si="63"/>
        <v>0.14648108719953831</v>
      </c>
      <c r="AG84" s="37">
        <f t="shared" si="54"/>
        <v>6.0078784940044497E-3</v>
      </c>
      <c r="AH84" s="37">
        <f t="shared" si="55"/>
        <v>0.25779491243957631</v>
      </c>
      <c r="AI84" s="40">
        <f t="shared" si="64"/>
        <v>0.26380279093358078</v>
      </c>
      <c r="AJ84" s="39">
        <f t="shared" si="65"/>
        <v>2.8518518518518526E-2</v>
      </c>
      <c r="AK84" s="37">
        <f t="shared" si="56"/>
        <v>6.8112322030295283E-2</v>
      </c>
      <c r="AL84" s="37">
        <f t="shared" si="57"/>
        <v>2.0533333333333337E-2</v>
      </c>
      <c r="AM84" s="37">
        <f t="shared" si="58"/>
        <v>0.59752000000000005</v>
      </c>
      <c r="AN84" s="40">
        <f t="shared" si="66"/>
        <v>0.61805333333333334</v>
      </c>
      <c r="AO84" s="39">
        <f t="shared" si="59"/>
        <v>2.5748050688590494E-3</v>
      </c>
      <c r="AP84" s="37">
        <f t="shared" si="60"/>
        <v>4.5441000000000002E-2</v>
      </c>
      <c r="AQ84" s="40">
        <f t="shared" si="61"/>
        <v>1.0800000000000001E-2</v>
      </c>
      <c r="AR84" s="39">
        <f t="shared" si="67"/>
        <v>0.96937752638724239</v>
      </c>
      <c r="AS84" s="37">
        <f t="shared" si="68"/>
        <v>3.4650000000000007</v>
      </c>
      <c r="AT84" s="40">
        <f t="shared" si="69"/>
        <v>78.139490365471673</v>
      </c>
    </row>
    <row r="85" spans="17:46" x14ac:dyDescent="0.25">
      <c r="Q85">
        <v>78</v>
      </c>
      <c r="R85" s="39">
        <f t="shared" si="45"/>
        <v>135</v>
      </c>
      <c r="S85" s="37">
        <f t="shared" si="46"/>
        <v>2.6000000000000002E-2</v>
      </c>
      <c r="T85" s="37">
        <f t="shared" si="47"/>
        <v>24</v>
      </c>
      <c r="U85" s="40">
        <f t="shared" si="48"/>
        <v>0.16250000000000001</v>
      </c>
      <c r="V85" s="39">
        <f t="shared" si="49"/>
        <v>2</v>
      </c>
      <c r="W85" s="37">
        <f t="shared" si="50"/>
        <v>0.82222222222222219</v>
      </c>
      <c r="X85" s="40">
        <f t="shared" si="51"/>
        <v>0.17777777777777781</v>
      </c>
      <c r="Y85" s="39">
        <f t="shared" si="52"/>
        <v>6.5953654188948316E-2</v>
      </c>
      <c r="Z85" s="37">
        <f t="shared" si="71"/>
        <v>0.19547682709447417</v>
      </c>
      <c r="AA85" s="37">
        <f t="shared" si="72"/>
        <v>0.16361155330560537</v>
      </c>
      <c r="AB85" s="37">
        <v>0</v>
      </c>
      <c r="AC85" s="37">
        <f t="shared" si="53"/>
        <v>2.9445614412580246E-2</v>
      </c>
      <c r="AD85" s="40">
        <f t="shared" si="62"/>
        <v>2.9445614412580246E-2</v>
      </c>
      <c r="AE85" s="39">
        <f t="shared" si="70"/>
        <v>0.1336111111111111</v>
      </c>
      <c r="AF85" s="37">
        <f t="shared" si="63"/>
        <v>0.14835718114497257</v>
      </c>
      <c r="AG85" s="37">
        <f t="shared" si="54"/>
        <v>6.1627588952390174E-3</v>
      </c>
      <c r="AH85" s="37">
        <f t="shared" si="55"/>
        <v>0.26114289831541498</v>
      </c>
      <c r="AI85" s="40">
        <f t="shared" si="64"/>
        <v>0.26730565721065402</v>
      </c>
      <c r="AJ85" s="39">
        <f t="shared" si="65"/>
        <v>2.8888888888888895E-2</v>
      </c>
      <c r="AK85" s="37">
        <f t="shared" si="56"/>
        <v>6.898468799516852E-2</v>
      </c>
      <c r="AL85" s="37">
        <f t="shared" si="57"/>
        <v>2.0800000000000003E-2</v>
      </c>
      <c r="AM85" s="37">
        <f t="shared" si="58"/>
        <v>0.59752000000000005</v>
      </c>
      <c r="AN85" s="40">
        <f t="shared" si="66"/>
        <v>0.61832000000000009</v>
      </c>
      <c r="AO85" s="39">
        <f t="shared" si="59"/>
        <v>2.6411823836738645E-3</v>
      </c>
      <c r="AP85" s="37">
        <f t="shared" si="60"/>
        <v>4.5441000000000002E-2</v>
      </c>
      <c r="AQ85" s="40">
        <f t="shared" si="61"/>
        <v>1.0800000000000001E-2</v>
      </c>
      <c r="AR85" s="39">
        <f t="shared" si="67"/>
        <v>0.97395345400690814</v>
      </c>
      <c r="AS85" s="37">
        <f t="shared" si="68"/>
        <v>3.5100000000000002</v>
      </c>
      <c r="AT85" s="40">
        <f t="shared" si="69"/>
        <v>78.279135499576327</v>
      </c>
    </row>
    <row r="86" spans="17:46" x14ac:dyDescent="0.25">
      <c r="Q86">
        <v>79</v>
      </c>
      <c r="R86" s="39">
        <f t="shared" si="45"/>
        <v>135</v>
      </c>
      <c r="S86" s="37">
        <f t="shared" si="46"/>
        <v>2.6333333333333337E-2</v>
      </c>
      <c r="T86" s="37">
        <f t="shared" si="47"/>
        <v>24</v>
      </c>
      <c r="U86" s="40">
        <f t="shared" si="48"/>
        <v>0.16458333333333336</v>
      </c>
      <c r="V86" s="39">
        <f t="shared" si="49"/>
        <v>2</v>
      </c>
      <c r="W86" s="37">
        <f t="shared" si="50"/>
        <v>0.82222222222222219</v>
      </c>
      <c r="X86" s="40">
        <f t="shared" si="51"/>
        <v>0.17777777777777781</v>
      </c>
      <c r="Y86" s="39">
        <f t="shared" si="52"/>
        <v>6.5953654188948316E-2</v>
      </c>
      <c r="Z86" s="37">
        <f t="shared" si="71"/>
        <v>0.19756016042780752</v>
      </c>
      <c r="AA86" s="37">
        <f t="shared" si="72"/>
        <v>0.16568091014412031</v>
      </c>
      <c r="AB86" s="37">
        <v>0</v>
      </c>
      <c r="AC86" s="37">
        <f t="shared" si="53"/>
        <v>3.0195180384802477E-2</v>
      </c>
      <c r="AD86" s="40">
        <f t="shared" si="62"/>
        <v>3.0195180384802477E-2</v>
      </c>
      <c r="AE86" s="39">
        <f t="shared" si="70"/>
        <v>0.1353240740740741</v>
      </c>
      <c r="AF86" s="37">
        <f t="shared" si="63"/>
        <v>0.15023360087904661</v>
      </c>
      <c r="AG86" s="37">
        <f t="shared" si="54"/>
        <v>6.3196377532637087E-3</v>
      </c>
      <c r="AH86" s="37">
        <f t="shared" si="55"/>
        <v>0.26449088419125366</v>
      </c>
      <c r="AI86" s="40">
        <f t="shared" si="64"/>
        <v>0.27081052194451738</v>
      </c>
      <c r="AJ86" s="39">
        <f t="shared" si="65"/>
        <v>2.925925925925927E-2</v>
      </c>
      <c r="AK86" s="37">
        <f t="shared" si="56"/>
        <v>6.985720544868218E-2</v>
      </c>
      <c r="AL86" s="37">
        <f t="shared" si="57"/>
        <v>2.1066666666666671E-2</v>
      </c>
      <c r="AM86" s="37">
        <f t="shared" si="58"/>
        <v>0.59752000000000005</v>
      </c>
      <c r="AN86" s="40">
        <f t="shared" si="66"/>
        <v>0.61858666666666673</v>
      </c>
      <c r="AO86" s="39">
        <f t="shared" si="59"/>
        <v>2.7084161799701607E-3</v>
      </c>
      <c r="AP86" s="37">
        <f t="shared" si="60"/>
        <v>4.5441000000000002E-2</v>
      </c>
      <c r="AQ86" s="40">
        <f t="shared" si="61"/>
        <v>1.0800000000000001E-2</v>
      </c>
      <c r="AR86" s="39">
        <f t="shared" si="67"/>
        <v>0.9785417851759568</v>
      </c>
      <c r="AS86" s="37">
        <f t="shared" si="68"/>
        <v>3.5550000000000006</v>
      </c>
      <c r="AT86" s="40">
        <f t="shared" si="69"/>
        <v>78.41551194309821</v>
      </c>
    </row>
    <row r="87" spans="17:46" x14ac:dyDescent="0.25">
      <c r="Q87">
        <v>80</v>
      </c>
      <c r="R87" s="39">
        <f t="shared" si="45"/>
        <v>135</v>
      </c>
      <c r="S87" s="37">
        <f t="shared" si="46"/>
        <v>2.6666666666666672E-2</v>
      </c>
      <c r="T87" s="37">
        <f t="shared" si="47"/>
        <v>24</v>
      </c>
      <c r="U87" s="40">
        <f t="shared" si="48"/>
        <v>0.16666666666666669</v>
      </c>
      <c r="V87" s="39">
        <f t="shared" si="49"/>
        <v>2</v>
      </c>
      <c r="W87" s="37">
        <f t="shared" si="50"/>
        <v>0.82222222222222219</v>
      </c>
      <c r="X87" s="40">
        <f t="shared" si="51"/>
        <v>0.17777777777777781</v>
      </c>
      <c r="Y87" s="39">
        <f t="shared" si="52"/>
        <v>6.5953654188948316E-2</v>
      </c>
      <c r="Z87" s="37">
        <f t="shared" si="71"/>
        <v>0.19964349376114085</v>
      </c>
      <c r="AA87" s="37">
        <f t="shared" si="72"/>
        <v>0.16775061297309984</v>
      </c>
      <c r="AB87" s="37">
        <v>0</v>
      </c>
      <c r="AC87" s="37">
        <f t="shared" si="53"/>
        <v>3.0954294968135811E-2</v>
      </c>
      <c r="AD87" s="40">
        <f t="shared" si="62"/>
        <v>3.0954294968135811E-2</v>
      </c>
      <c r="AE87" s="39">
        <f t="shared" si="70"/>
        <v>0.13703703703703704</v>
      </c>
      <c r="AF87" s="37">
        <f t="shared" si="63"/>
        <v>0.15211033434506072</v>
      </c>
      <c r="AG87" s="37">
        <f t="shared" si="54"/>
        <v>6.4785150680785253E-3</v>
      </c>
      <c r="AH87" s="37">
        <f t="shared" si="55"/>
        <v>0.26783887006709234</v>
      </c>
      <c r="AI87" s="40">
        <f t="shared" si="64"/>
        <v>0.27431738513517084</v>
      </c>
      <c r="AJ87" s="39">
        <f t="shared" si="65"/>
        <v>2.9629629629629638E-2</v>
      </c>
      <c r="AK87" s="37">
        <f t="shared" si="56"/>
        <v>7.0729868784584746E-2</v>
      </c>
      <c r="AL87" s="37">
        <f t="shared" si="57"/>
        <v>2.133333333333334E-2</v>
      </c>
      <c r="AM87" s="37">
        <f t="shared" si="58"/>
        <v>0.59752000000000005</v>
      </c>
      <c r="AN87" s="40">
        <f t="shared" si="66"/>
        <v>0.61885333333333337</v>
      </c>
      <c r="AO87" s="39">
        <f t="shared" si="59"/>
        <v>2.7765064577479391E-3</v>
      </c>
      <c r="AP87" s="37">
        <f t="shared" si="60"/>
        <v>4.5441000000000002E-2</v>
      </c>
      <c r="AQ87" s="40">
        <f t="shared" si="61"/>
        <v>1.0800000000000001E-2</v>
      </c>
      <c r="AR87" s="39">
        <f t="shared" si="67"/>
        <v>0.98314251989438795</v>
      </c>
      <c r="AS87" s="37">
        <f t="shared" si="68"/>
        <v>3.6000000000000005</v>
      </c>
      <c r="AT87" s="40">
        <f t="shared" si="69"/>
        <v>78.548724687770715</v>
      </c>
    </row>
    <row r="88" spans="17:46" x14ac:dyDescent="0.25">
      <c r="Q88">
        <v>81</v>
      </c>
      <c r="R88" s="39">
        <f t="shared" si="45"/>
        <v>135</v>
      </c>
      <c r="S88" s="37">
        <f t="shared" si="46"/>
        <v>2.7000000000000003E-2</v>
      </c>
      <c r="T88" s="37">
        <f t="shared" si="47"/>
        <v>24</v>
      </c>
      <c r="U88" s="40">
        <f t="shared" si="48"/>
        <v>0.16875000000000001</v>
      </c>
      <c r="V88" s="39">
        <f t="shared" si="49"/>
        <v>2</v>
      </c>
      <c r="W88" s="37">
        <f t="shared" si="50"/>
        <v>0.82222222222222219</v>
      </c>
      <c r="X88" s="40">
        <f t="shared" si="51"/>
        <v>0.17777777777777781</v>
      </c>
      <c r="Y88" s="39">
        <f t="shared" si="52"/>
        <v>6.5953654188948316E-2</v>
      </c>
      <c r="Z88" s="37">
        <f t="shared" si="71"/>
        <v>0.20172682709447418</v>
      </c>
      <c r="AA88" s="37">
        <f t="shared" si="72"/>
        <v>0.16982064914218456</v>
      </c>
      <c r="AB88" s="37">
        <v>0</v>
      </c>
      <c r="AC88" s="37">
        <f t="shared" si="53"/>
        <v>3.1722958162580243E-2</v>
      </c>
      <c r="AD88" s="40">
        <f t="shared" si="62"/>
        <v>3.1722958162580243E-2</v>
      </c>
      <c r="AE88" s="39">
        <f t="shared" si="70"/>
        <v>0.13875000000000001</v>
      </c>
      <c r="AF88" s="37">
        <f t="shared" si="63"/>
        <v>0.15398737007211549</v>
      </c>
      <c r="AG88" s="37">
        <f t="shared" si="54"/>
        <v>6.6393908396834627E-3</v>
      </c>
      <c r="AH88" s="37">
        <f t="shared" si="55"/>
        <v>0.2711868559429309</v>
      </c>
      <c r="AI88" s="40">
        <f t="shared" si="64"/>
        <v>0.27782624678261436</v>
      </c>
      <c r="AJ88" s="39">
        <f t="shared" si="65"/>
        <v>3.0000000000000009E-2</v>
      </c>
      <c r="AK88" s="37">
        <f t="shared" si="56"/>
        <v>7.1602672669016376E-2</v>
      </c>
      <c r="AL88" s="37">
        <f t="shared" si="57"/>
        <v>2.1600000000000005E-2</v>
      </c>
      <c r="AM88" s="37">
        <f t="shared" si="58"/>
        <v>0.59752000000000005</v>
      </c>
      <c r="AN88" s="40">
        <f t="shared" si="66"/>
        <v>0.61912</v>
      </c>
      <c r="AO88" s="39">
        <f t="shared" si="59"/>
        <v>2.8454532170071978E-3</v>
      </c>
      <c r="AP88" s="37">
        <f t="shared" si="60"/>
        <v>4.5441000000000002E-2</v>
      </c>
      <c r="AQ88" s="40">
        <f t="shared" si="61"/>
        <v>1.0800000000000001E-2</v>
      </c>
      <c r="AR88" s="39">
        <f t="shared" si="67"/>
        <v>0.98775565816220179</v>
      </c>
      <c r="AS88" s="37">
        <f t="shared" si="68"/>
        <v>3.6450000000000005</v>
      </c>
      <c r="AT88" s="40">
        <f t="shared" si="69"/>
        <v>78.678874280323228</v>
      </c>
    </row>
    <row r="89" spans="17:46" x14ac:dyDescent="0.25">
      <c r="Q89">
        <v>82</v>
      </c>
      <c r="R89" s="39">
        <f t="shared" si="45"/>
        <v>135</v>
      </c>
      <c r="S89" s="37">
        <f t="shared" si="46"/>
        <v>2.7333333333333338E-2</v>
      </c>
      <c r="T89" s="37">
        <f t="shared" si="47"/>
        <v>24</v>
      </c>
      <c r="U89" s="40">
        <f t="shared" si="48"/>
        <v>0.17083333333333336</v>
      </c>
      <c r="V89" s="39">
        <f t="shared" si="49"/>
        <v>2</v>
      </c>
      <c r="W89" s="37">
        <f t="shared" si="50"/>
        <v>0.82222222222222219</v>
      </c>
      <c r="X89" s="40">
        <f t="shared" si="51"/>
        <v>0.17777777777777781</v>
      </c>
      <c r="Y89" s="39">
        <f t="shared" si="52"/>
        <v>6.5953654188948316E-2</v>
      </c>
      <c r="Z89" s="37">
        <f t="shared" si="71"/>
        <v>0.20381016042780753</v>
      </c>
      <c r="AA89" s="37">
        <f t="shared" si="72"/>
        <v>0.17189100660840501</v>
      </c>
      <c r="AB89" s="37">
        <v>0</v>
      </c>
      <c r="AC89" s="37">
        <f t="shared" si="53"/>
        <v>3.2501169968135811E-2</v>
      </c>
      <c r="AD89" s="40">
        <f t="shared" si="62"/>
        <v>3.2501169968135811E-2</v>
      </c>
      <c r="AE89" s="39">
        <f t="shared" si="70"/>
        <v>0.14046296296296298</v>
      </c>
      <c r="AF89" s="37">
        <f t="shared" si="63"/>
        <v>0.15586469714007134</v>
      </c>
      <c r="AG89" s="37">
        <f t="shared" si="54"/>
        <v>6.8022650680785264E-3</v>
      </c>
      <c r="AH89" s="37">
        <f t="shared" si="55"/>
        <v>0.27453484181876964</v>
      </c>
      <c r="AI89" s="40">
        <f t="shared" si="64"/>
        <v>0.28133710688684815</v>
      </c>
      <c r="AJ89" s="39">
        <f t="shared" si="65"/>
        <v>3.0370370370370381E-2</v>
      </c>
      <c r="AK89" s="37">
        <f t="shared" si="56"/>
        <v>7.2475612024215277E-2</v>
      </c>
      <c r="AL89" s="37">
        <f t="shared" si="57"/>
        <v>2.1866666666666673E-2</v>
      </c>
      <c r="AM89" s="37">
        <f t="shared" si="58"/>
        <v>0.59752000000000005</v>
      </c>
      <c r="AN89" s="40">
        <f t="shared" si="66"/>
        <v>0.61938666666666675</v>
      </c>
      <c r="AO89" s="39">
        <f t="shared" si="59"/>
        <v>2.9152564577479396E-3</v>
      </c>
      <c r="AP89" s="37">
        <f t="shared" si="60"/>
        <v>4.5441000000000002E-2</v>
      </c>
      <c r="AQ89" s="40">
        <f t="shared" si="61"/>
        <v>1.0800000000000001E-2</v>
      </c>
      <c r="AR89" s="39">
        <f t="shared" si="67"/>
        <v>0.99238119997939866</v>
      </c>
      <c r="AS89" s="37">
        <f t="shared" si="68"/>
        <v>3.6900000000000008</v>
      </c>
      <c r="AT89" s="40">
        <f t="shared" si="69"/>
        <v>78.80605705524863</v>
      </c>
    </row>
    <row r="90" spans="17:46" x14ac:dyDescent="0.25">
      <c r="Q90">
        <v>83</v>
      </c>
      <c r="R90" s="39">
        <f t="shared" si="45"/>
        <v>135</v>
      </c>
      <c r="S90" s="37">
        <f t="shared" si="46"/>
        <v>2.7666666666666669E-2</v>
      </c>
      <c r="T90" s="37">
        <f t="shared" si="47"/>
        <v>24</v>
      </c>
      <c r="U90" s="40">
        <f t="shared" si="48"/>
        <v>0.17291666666666666</v>
      </c>
      <c r="V90" s="39">
        <f t="shared" si="49"/>
        <v>2</v>
      </c>
      <c r="W90" s="37">
        <f t="shared" si="50"/>
        <v>0.82222222222222219</v>
      </c>
      <c r="X90" s="40">
        <f t="shared" si="51"/>
        <v>0.17777777777777781</v>
      </c>
      <c r="Y90" s="39">
        <f t="shared" si="52"/>
        <v>6.5953654188948316E-2</v>
      </c>
      <c r="Z90" s="37">
        <f t="shared" si="71"/>
        <v>0.20589349376114083</v>
      </c>
      <c r="AA90" s="37">
        <f t="shared" si="72"/>
        <v>0.17396167390027051</v>
      </c>
      <c r="AB90" s="37">
        <v>0</v>
      </c>
      <c r="AC90" s="37">
        <f t="shared" si="53"/>
        <v>3.3288930384802462E-2</v>
      </c>
      <c r="AD90" s="40">
        <f t="shared" si="62"/>
        <v>3.3288930384802462E-2</v>
      </c>
      <c r="AE90" s="39">
        <f t="shared" si="70"/>
        <v>0.14217592592592593</v>
      </c>
      <c r="AF90" s="37">
        <f t="shared" si="63"/>
        <v>0.15774230514698545</v>
      </c>
      <c r="AG90" s="37">
        <f t="shared" si="54"/>
        <v>6.9671377532637083E-3</v>
      </c>
      <c r="AH90" s="37">
        <f t="shared" si="55"/>
        <v>0.27788282769460826</v>
      </c>
      <c r="AI90" s="40">
        <f t="shared" si="64"/>
        <v>0.28484996544787194</v>
      </c>
      <c r="AJ90" s="39">
        <f t="shared" si="65"/>
        <v>3.0740740740740746E-2</v>
      </c>
      <c r="AK90" s="37">
        <f t="shared" si="56"/>
        <v>7.3348682013376285E-2</v>
      </c>
      <c r="AL90" s="37">
        <f t="shared" si="57"/>
        <v>2.2133333333333338E-2</v>
      </c>
      <c r="AM90" s="37">
        <f t="shared" si="58"/>
        <v>0.59752000000000005</v>
      </c>
      <c r="AN90" s="40">
        <f t="shared" si="66"/>
        <v>0.61965333333333339</v>
      </c>
      <c r="AO90" s="39">
        <f t="shared" si="59"/>
        <v>2.9859161799701607E-3</v>
      </c>
      <c r="AP90" s="37">
        <f t="shared" si="60"/>
        <v>4.5441000000000002E-2</v>
      </c>
      <c r="AQ90" s="40">
        <f t="shared" si="61"/>
        <v>1.0800000000000001E-2</v>
      </c>
      <c r="AR90" s="39">
        <f t="shared" si="67"/>
        <v>0.99701914534597802</v>
      </c>
      <c r="AS90" s="37">
        <f t="shared" si="68"/>
        <v>3.7350000000000003</v>
      </c>
      <c r="AT90" s="40">
        <f t="shared" si="69"/>
        <v>78.93036535309534</v>
      </c>
    </row>
    <row r="91" spans="17:46" x14ac:dyDescent="0.25">
      <c r="Q91">
        <v>84</v>
      </c>
      <c r="R91" s="39">
        <f t="shared" si="45"/>
        <v>135</v>
      </c>
      <c r="S91" s="37">
        <f t="shared" si="46"/>
        <v>2.8000000000000004E-2</v>
      </c>
      <c r="T91" s="37">
        <f t="shared" si="47"/>
        <v>24</v>
      </c>
      <c r="U91" s="40">
        <f t="shared" si="48"/>
        <v>0.17500000000000002</v>
      </c>
      <c r="V91" s="39">
        <f t="shared" si="49"/>
        <v>2</v>
      </c>
      <c r="W91" s="37">
        <f t="shared" si="50"/>
        <v>0.82222222222222219</v>
      </c>
      <c r="X91" s="40">
        <f t="shared" si="51"/>
        <v>0.17777777777777781</v>
      </c>
      <c r="Y91" s="39">
        <f t="shared" si="52"/>
        <v>6.5953654188948316E-2</v>
      </c>
      <c r="Z91" s="37">
        <f t="shared" si="71"/>
        <v>0.20797682709447418</v>
      </c>
      <c r="AA91" s="37">
        <f t="shared" si="72"/>
        <v>0.17603264008436889</v>
      </c>
      <c r="AB91" s="37">
        <v>0</v>
      </c>
      <c r="AC91" s="37">
        <f t="shared" si="53"/>
        <v>3.4086239412580259E-2</v>
      </c>
      <c r="AD91" s="40">
        <f t="shared" si="62"/>
        <v>3.4086239412580259E-2</v>
      </c>
      <c r="AE91" s="39">
        <f t="shared" si="70"/>
        <v>0.1438888888888889</v>
      </c>
      <c r="AF91" s="37">
        <f t="shared" si="63"/>
        <v>0.15962018417882562</v>
      </c>
      <c r="AG91" s="37">
        <f t="shared" si="54"/>
        <v>7.1340088952390208E-3</v>
      </c>
      <c r="AH91" s="37">
        <f t="shared" si="55"/>
        <v>0.28123081357044694</v>
      </c>
      <c r="AI91" s="40">
        <f t="shared" si="64"/>
        <v>0.28836482246568595</v>
      </c>
      <c r="AJ91" s="39">
        <f t="shared" si="65"/>
        <v>3.1111111111111121E-2</v>
      </c>
      <c r="AK91" s="37">
        <f t="shared" si="56"/>
        <v>7.4221878026568086E-2</v>
      </c>
      <c r="AL91" s="37">
        <f t="shared" si="57"/>
        <v>2.2400000000000003E-2</v>
      </c>
      <c r="AM91" s="37">
        <f t="shared" si="58"/>
        <v>0.59752000000000005</v>
      </c>
      <c r="AN91" s="40">
        <f t="shared" si="66"/>
        <v>0.61992000000000003</v>
      </c>
      <c r="AO91" s="39">
        <f t="shared" si="59"/>
        <v>3.0574323836738654E-3</v>
      </c>
      <c r="AP91" s="37">
        <f t="shared" si="60"/>
        <v>4.5441000000000002E-2</v>
      </c>
      <c r="AQ91" s="40">
        <f t="shared" si="61"/>
        <v>1.0800000000000001E-2</v>
      </c>
      <c r="AR91" s="39">
        <f t="shared" si="67"/>
        <v>1.00166949426194</v>
      </c>
      <c r="AS91" s="37">
        <f t="shared" si="68"/>
        <v>3.7800000000000007</v>
      </c>
      <c r="AT91" s="40">
        <f t="shared" si="69"/>
        <v>79.051887725323652</v>
      </c>
    </row>
    <row r="92" spans="17:46" x14ac:dyDescent="0.25">
      <c r="Q92">
        <v>85</v>
      </c>
      <c r="R92" s="39">
        <f t="shared" si="45"/>
        <v>135</v>
      </c>
      <c r="S92" s="37">
        <f t="shared" si="46"/>
        <v>2.8333333333333335E-2</v>
      </c>
      <c r="T92" s="37">
        <f t="shared" si="47"/>
        <v>24</v>
      </c>
      <c r="U92" s="40">
        <f t="shared" si="48"/>
        <v>0.17708333333333334</v>
      </c>
      <c r="V92" s="39">
        <f t="shared" si="49"/>
        <v>2</v>
      </c>
      <c r="W92" s="37">
        <f t="shared" si="50"/>
        <v>0.82222222222222219</v>
      </c>
      <c r="X92" s="40">
        <f t="shared" si="51"/>
        <v>0.17777777777777781</v>
      </c>
      <c r="Y92" s="39">
        <f t="shared" si="52"/>
        <v>6.5953654188948316E-2</v>
      </c>
      <c r="Z92" s="37">
        <f t="shared" si="71"/>
        <v>0.21006016042780751</v>
      </c>
      <c r="AA92" s="37">
        <f t="shared" si="72"/>
        <v>0.1781038947342741</v>
      </c>
      <c r="AB92" s="37">
        <v>0</v>
      </c>
      <c r="AC92" s="37">
        <f t="shared" si="53"/>
        <v>3.4893097051469125E-2</v>
      </c>
      <c r="AD92" s="40">
        <f t="shared" si="62"/>
        <v>3.4893097051469125E-2</v>
      </c>
      <c r="AE92" s="39">
        <f t="shared" si="70"/>
        <v>0.14560185185185184</v>
      </c>
      <c r="AF92" s="37">
        <f t="shared" si="63"/>
        <v>0.16149832478127676</v>
      </c>
      <c r="AG92" s="37">
        <f t="shared" si="54"/>
        <v>7.3028784940044516E-3</v>
      </c>
      <c r="AH92" s="37">
        <f t="shared" si="55"/>
        <v>0.28457879944628556</v>
      </c>
      <c r="AI92" s="40">
        <f t="shared" si="64"/>
        <v>0.29188167794029002</v>
      </c>
      <c r="AJ92" s="39">
        <f t="shared" si="65"/>
        <v>3.1481481481481492E-2</v>
      </c>
      <c r="AK92" s="37">
        <f t="shared" si="56"/>
        <v>7.5095195667623432E-2</v>
      </c>
      <c r="AL92" s="37">
        <f t="shared" si="57"/>
        <v>2.2666666666666668E-2</v>
      </c>
      <c r="AM92" s="37">
        <f t="shared" si="58"/>
        <v>0.59752000000000005</v>
      </c>
      <c r="AN92" s="40">
        <f t="shared" si="66"/>
        <v>0.62018666666666666</v>
      </c>
      <c r="AO92" s="39">
        <f t="shared" si="59"/>
        <v>3.1298050688590502E-3</v>
      </c>
      <c r="AP92" s="37">
        <f t="shared" si="60"/>
        <v>4.5441000000000002E-2</v>
      </c>
      <c r="AQ92" s="40">
        <f t="shared" si="61"/>
        <v>1.0800000000000001E-2</v>
      </c>
      <c r="AR92" s="39">
        <f t="shared" si="67"/>
        <v>1.0063322467272848</v>
      </c>
      <c r="AS92" s="37">
        <f t="shared" si="68"/>
        <v>3.8250000000000002</v>
      </c>
      <c r="AT92" s="40">
        <f t="shared" si="69"/>
        <v>79.170709126680975</v>
      </c>
    </row>
    <row r="93" spans="17:46" x14ac:dyDescent="0.25">
      <c r="Q93">
        <v>86</v>
      </c>
      <c r="R93" s="39">
        <f t="shared" si="45"/>
        <v>135</v>
      </c>
      <c r="S93" s="37">
        <f t="shared" si="46"/>
        <v>2.866666666666667E-2</v>
      </c>
      <c r="T93" s="37">
        <f t="shared" si="47"/>
        <v>24</v>
      </c>
      <c r="U93" s="40">
        <f t="shared" si="48"/>
        <v>0.17916666666666667</v>
      </c>
      <c r="V93" s="39">
        <f t="shared" si="49"/>
        <v>2</v>
      </c>
      <c r="W93" s="37">
        <f t="shared" si="50"/>
        <v>0.82222222222222219</v>
      </c>
      <c r="X93" s="40">
        <f t="shared" si="51"/>
        <v>0.17777777777777781</v>
      </c>
      <c r="Y93" s="39">
        <f t="shared" si="52"/>
        <v>6.5953654188948316E-2</v>
      </c>
      <c r="Z93" s="37">
        <f t="shared" si="71"/>
        <v>0.21214349376114083</v>
      </c>
      <c r="AA93" s="37">
        <f t="shared" si="72"/>
        <v>0.18017542790157984</v>
      </c>
      <c r="AB93" s="37">
        <v>0</v>
      </c>
      <c r="AC93" s="37">
        <f t="shared" si="53"/>
        <v>3.5709503301469138E-2</v>
      </c>
      <c r="AD93" s="40">
        <f t="shared" si="62"/>
        <v>3.5709503301469138E-2</v>
      </c>
      <c r="AE93" s="39">
        <f t="shared" si="70"/>
        <v>0.14731481481481482</v>
      </c>
      <c r="AF93" s="37">
        <f t="shared" si="63"/>
        <v>0.16337671793347516</v>
      </c>
      <c r="AG93" s="37">
        <f t="shared" si="54"/>
        <v>7.4737465495600067E-3</v>
      </c>
      <c r="AH93" s="37">
        <f t="shared" si="55"/>
        <v>0.28792678532212418</v>
      </c>
      <c r="AI93" s="40">
        <f t="shared" si="64"/>
        <v>0.29540053187168419</v>
      </c>
      <c r="AJ93" s="39">
        <f t="shared" si="65"/>
        <v>3.185185185185186E-2</v>
      </c>
      <c r="AK93" s="37">
        <f t="shared" si="56"/>
        <v>7.5968630741925933E-2</v>
      </c>
      <c r="AL93" s="37">
        <f t="shared" si="57"/>
        <v>2.2933333333333337E-2</v>
      </c>
      <c r="AM93" s="37">
        <f t="shared" si="58"/>
        <v>0.59752000000000005</v>
      </c>
      <c r="AN93" s="40">
        <f t="shared" si="66"/>
        <v>0.62045333333333341</v>
      </c>
      <c r="AO93" s="39">
        <f t="shared" si="59"/>
        <v>3.2030342355257166E-3</v>
      </c>
      <c r="AP93" s="37">
        <f t="shared" si="60"/>
        <v>4.5441000000000002E-2</v>
      </c>
      <c r="AQ93" s="40">
        <f t="shared" si="61"/>
        <v>1.0800000000000001E-2</v>
      </c>
      <c r="AR93" s="39">
        <f t="shared" si="67"/>
        <v>1.0110074027420124</v>
      </c>
      <c r="AS93" s="37">
        <f t="shared" si="68"/>
        <v>3.8700000000000006</v>
      </c>
      <c r="AT93" s="40">
        <f t="shared" si="69"/>
        <v>79.286911095974645</v>
      </c>
    </row>
    <row r="94" spans="17:46" x14ac:dyDescent="0.25">
      <c r="Q94">
        <v>87</v>
      </c>
      <c r="R94" s="39">
        <f t="shared" si="45"/>
        <v>135</v>
      </c>
      <c r="S94" s="37">
        <f t="shared" si="46"/>
        <v>2.9000000000000005E-2</v>
      </c>
      <c r="T94" s="37">
        <f t="shared" si="47"/>
        <v>24</v>
      </c>
      <c r="U94" s="40">
        <f t="shared" si="48"/>
        <v>0.18125000000000002</v>
      </c>
      <c r="V94" s="39">
        <f t="shared" si="49"/>
        <v>2</v>
      </c>
      <c r="W94" s="37">
        <f t="shared" si="50"/>
        <v>0.82222222222222219</v>
      </c>
      <c r="X94" s="40">
        <f t="shared" si="51"/>
        <v>0.17777777777777781</v>
      </c>
      <c r="Y94" s="39">
        <f t="shared" si="52"/>
        <v>6.5953654188948316E-2</v>
      </c>
      <c r="Z94" s="37">
        <f t="shared" si="71"/>
        <v>0.21422682709447419</v>
      </c>
      <c r="AA94" s="37">
        <f t="shared" si="72"/>
        <v>0.18224723008889038</v>
      </c>
      <c r="AB94" s="37">
        <v>0</v>
      </c>
      <c r="AC94" s="37">
        <f t="shared" si="53"/>
        <v>3.6535458162580248E-2</v>
      </c>
      <c r="AD94" s="40">
        <f t="shared" si="62"/>
        <v>3.6535458162580248E-2</v>
      </c>
      <c r="AE94" s="39">
        <f t="shared" si="70"/>
        <v>0.14902777777777779</v>
      </c>
      <c r="AF94" s="37">
        <f t="shared" si="63"/>
        <v>0.16525535502351771</v>
      </c>
      <c r="AG94" s="37">
        <f t="shared" si="54"/>
        <v>7.6466130619056872E-3</v>
      </c>
      <c r="AH94" s="37">
        <f t="shared" si="55"/>
        <v>0.29127477119796291</v>
      </c>
      <c r="AI94" s="40">
        <f t="shared" si="64"/>
        <v>0.29892138425986858</v>
      </c>
      <c r="AJ94" s="39">
        <f t="shared" si="65"/>
        <v>3.2222222222222235E-2</v>
      </c>
      <c r="AK94" s="37">
        <f t="shared" si="56"/>
        <v>7.6842179245021958E-2</v>
      </c>
      <c r="AL94" s="37">
        <f t="shared" si="57"/>
        <v>2.3200000000000005E-2</v>
      </c>
      <c r="AM94" s="37">
        <f t="shared" si="58"/>
        <v>0.59752000000000005</v>
      </c>
      <c r="AN94" s="40">
        <f t="shared" si="66"/>
        <v>0.62072000000000005</v>
      </c>
      <c r="AO94" s="39">
        <f t="shared" si="59"/>
        <v>3.2771198836738656E-3</v>
      </c>
      <c r="AP94" s="37">
        <f t="shared" si="60"/>
        <v>4.5441000000000002E-2</v>
      </c>
      <c r="AQ94" s="40">
        <f t="shared" si="61"/>
        <v>1.0800000000000001E-2</v>
      </c>
      <c r="AR94" s="39">
        <f t="shared" si="67"/>
        <v>1.0156949623061227</v>
      </c>
      <c r="AS94" s="37">
        <f t="shared" si="68"/>
        <v>3.9150000000000005</v>
      </c>
      <c r="AT94" s="40">
        <f t="shared" si="69"/>
        <v>79.400571926050063</v>
      </c>
    </row>
    <row r="95" spans="17:46" x14ac:dyDescent="0.25">
      <c r="Q95">
        <v>88</v>
      </c>
      <c r="R95" s="39">
        <f t="shared" si="45"/>
        <v>135</v>
      </c>
      <c r="S95" s="37">
        <f t="shared" si="46"/>
        <v>2.9333333333333336E-2</v>
      </c>
      <c r="T95" s="37">
        <f t="shared" si="47"/>
        <v>24</v>
      </c>
      <c r="U95" s="40">
        <f t="shared" si="48"/>
        <v>0.18333333333333335</v>
      </c>
      <c r="V95" s="39">
        <f t="shared" si="49"/>
        <v>2</v>
      </c>
      <c r="W95" s="37">
        <f t="shared" si="50"/>
        <v>0.82222222222222219</v>
      </c>
      <c r="X95" s="40">
        <f t="shared" si="51"/>
        <v>0.17777777777777781</v>
      </c>
      <c r="Y95" s="39">
        <f t="shared" si="52"/>
        <v>6.5953654188948316E-2</v>
      </c>
      <c r="Z95" s="37">
        <f t="shared" si="71"/>
        <v>0.21631016042780751</v>
      </c>
      <c r="AA95" s="37">
        <f t="shared" si="72"/>
        <v>0.18431929222461785</v>
      </c>
      <c r="AB95" s="37">
        <v>0</v>
      </c>
      <c r="AC95" s="37">
        <f t="shared" si="53"/>
        <v>3.7370961634802483E-2</v>
      </c>
      <c r="AD95" s="40">
        <f t="shared" si="62"/>
        <v>3.7370961634802483E-2</v>
      </c>
      <c r="AE95" s="39">
        <f t="shared" si="70"/>
        <v>0.15074074074074076</v>
      </c>
      <c r="AF95" s="37">
        <f t="shared" si="63"/>
        <v>0.16713422782560866</v>
      </c>
      <c r="AG95" s="37">
        <f t="shared" si="54"/>
        <v>7.8214780310414903E-3</v>
      </c>
      <c r="AH95" s="37">
        <f t="shared" si="55"/>
        <v>0.29462275707380153</v>
      </c>
      <c r="AI95" s="40">
        <f t="shared" si="64"/>
        <v>0.30244423510484303</v>
      </c>
      <c r="AJ95" s="39">
        <f t="shared" si="65"/>
        <v>3.2592592592592604E-2</v>
      </c>
      <c r="AK95" s="37">
        <f t="shared" si="56"/>
        <v>7.771583735199418E-2</v>
      </c>
      <c r="AL95" s="37">
        <f t="shared" si="57"/>
        <v>2.346666666666667E-2</v>
      </c>
      <c r="AM95" s="37">
        <f t="shared" si="58"/>
        <v>0.59752000000000005</v>
      </c>
      <c r="AN95" s="40">
        <f t="shared" si="66"/>
        <v>0.62098666666666669</v>
      </c>
      <c r="AO95" s="39">
        <f t="shared" si="59"/>
        <v>3.3520620133034953E-3</v>
      </c>
      <c r="AP95" s="37">
        <f t="shared" si="60"/>
        <v>4.5441000000000002E-2</v>
      </c>
      <c r="AQ95" s="40">
        <f t="shared" si="61"/>
        <v>1.0800000000000001E-2</v>
      </c>
      <c r="AR95" s="39">
        <f t="shared" si="67"/>
        <v>1.0203949254196156</v>
      </c>
      <c r="AS95" s="37">
        <f t="shared" si="68"/>
        <v>3.9600000000000004</v>
      </c>
      <c r="AT95" s="40">
        <f t="shared" si="69"/>
        <v>79.511766823719427</v>
      </c>
    </row>
    <row r="96" spans="17:46" x14ac:dyDescent="0.25">
      <c r="Q96">
        <v>89</v>
      </c>
      <c r="R96" s="39">
        <f t="shared" si="45"/>
        <v>135</v>
      </c>
      <c r="S96" s="37">
        <f t="shared" si="46"/>
        <v>2.9666666666666671E-2</v>
      </c>
      <c r="T96" s="37">
        <f t="shared" si="47"/>
        <v>24</v>
      </c>
      <c r="U96" s="40">
        <f t="shared" si="48"/>
        <v>0.1854166666666667</v>
      </c>
      <c r="V96" s="39">
        <f t="shared" si="49"/>
        <v>2</v>
      </c>
      <c r="W96" s="37">
        <f t="shared" si="50"/>
        <v>0.82222222222222219</v>
      </c>
      <c r="X96" s="40">
        <f t="shared" si="51"/>
        <v>0.17777777777777781</v>
      </c>
      <c r="Y96" s="39">
        <f t="shared" si="52"/>
        <v>6.5953654188948316E-2</v>
      </c>
      <c r="Z96" s="37">
        <f t="shared" si="71"/>
        <v>0.21839349376114087</v>
      </c>
      <c r="AA96" s="37">
        <f t="shared" si="72"/>
        <v>0.18639160563944593</v>
      </c>
      <c r="AB96" s="37">
        <v>0</v>
      </c>
      <c r="AC96" s="37">
        <f t="shared" si="53"/>
        <v>3.8216013718135808E-2</v>
      </c>
      <c r="AD96" s="40">
        <f t="shared" si="62"/>
        <v>3.8216013718135808E-2</v>
      </c>
      <c r="AE96" s="39">
        <f t="shared" si="70"/>
        <v>0.15245370370370373</v>
      </c>
      <c r="AF96" s="37">
        <f t="shared" si="63"/>
        <v>0.16901332847871808</v>
      </c>
      <c r="AG96" s="37">
        <f t="shared" si="54"/>
        <v>7.9983414569674161E-3</v>
      </c>
      <c r="AH96" s="37">
        <f t="shared" si="55"/>
        <v>0.29797074294964021</v>
      </c>
      <c r="AI96" s="40">
        <f t="shared" si="64"/>
        <v>0.30596908440660764</v>
      </c>
      <c r="AJ96" s="39">
        <f t="shared" si="65"/>
        <v>3.2962962962962979E-2</v>
      </c>
      <c r="AK96" s="37">
        <f t="shared" si="56"/>
        <v>7.8589601407537929E-2</v>
      </c>
      <c r="AL96" s="37">
        <f t="shared" si="57"/>
        <v>2.3733333333333339E-2</v>
      </c>
      <c r="AM96" s="37">
        <f t="shared" si="58"/>
        <v>0.59752000000000005</v>
      </c>
      <c r="AN96" s="40">
        <f t="shared" si="66"/>
        <v>0.62125333333333344</v>
      </c>
      <c r="AO96" s="39">
        <f t="shared" si="59"/>
        <v>3.4278606244146068E-3</v>
      </c>
      <c r="AP96" s="37">
        <f t="shared" si="60"/>
        <v>4.5441000000000002E-2</v>
      </c>
      <c r="AQ96" s="40">
        <f t="shared" si="61"/>
        <v>1.0800000000000001E-2</v>
      </c>
      <c r="AR96" s="39">
        <f t="shared" si="67"/>
        <v>1.0251072920824913</v>
      </c>
      <c r="AS96" s="37">
        <f t="shared" si="68"/>
        <v>4.0050000000000008</v>
      </c>
      <c r="AT96" s="40">
        <f t="shared" si="69"/>
        <v>79.620568060326775</v>
      </c>
    </row>
    <row r="97" spans="17:46" x14ac:dyDescent="0.25">
      <c r="Q97">
        <v>90</v>
      </c>
      <c r="R97" s="39">
        <f t="shared" si="45"/>
        <v>135</v>
      </c>
      <c r="S97" s="37">
        <f t="shared" si="46"/>
        <v>3.0000000000000002E-2</v>
      </c>
      <c r="T97" s="37">
        <f t="shared" si="47"/>
        <v>24</v>
      </c>
      <c r="U97" s="40">
        <f t="shared" si="48"/>
        <v>0.18750000000000003</v>
      </c>
      <c r="V97" s="39">
        <f t="shared" si="49"/>
        <v>2</v>
      </c>
      <c r="W97" s="37">
        <f t="shared" si="50"/>
        <v>0.82222222222222219</v>
      </c>
      <c r="X97" s="40">
        <f t="shared" si="51"/>
        <v>0.17777777777777781</v>
      </c>
      <c r="Y97" s="39">
        <f t="shared" si="52"/>
        <v>6.5953654188948316E-2</v>
      </c>
      <c r="Z97" s="37">
        <f t="shared" si="71"/>
        <v>0.22047682709447419</v>
      </c>
      <c r="AA97" s="37">
        <f t="shared" si="72"/>
        <v>0.18846416204433394</v>
      </c>
      <c r="AB97" s="37">
        <v>0</v>
      </c>
      <c r="AC97" s="37">
        <f t="shared" si="53"/>
        <v>3.9070614412580265E-2</v>
      </c>
      <c r="AD97" s="40">
        <f t="shared" si="62"/>
        <v>3.9070614412580265E-2</v>
      </c>
      <c r="AE97" s="39">
        <f t="shared" si="70"/>
        <v>0.15416666666666667</v>
      </c>
      <c r="AF97" s="37">
        <f t="shared" si="63"/>
        <v>0.17089264946663638</v>
      </c>
      <c r="AG97" s="37">
        <f t="shared" si="54"/>
        <v>8.1772033396834646E-3</v>
      </c>
      <c r="AH97" s="37">
        <f t="shared" si="55"/>
        <v>0.30131872882547883</v>
      </c>
      <c r="AI97" s="40">
        <f t="shared" si="64"/>
        <v>0.3094959321651623</v>
      </c>
      <c r="AJ97" s="39">
        <f t="shared" si="65"/>
        <v>3.3333333333333347E-2</v>
      </c>
      <c r="AK97" s="37">
        <f t="shared" si="56"/>
        <v>7.9463467916686764E-2</v>
      </c>
      <c r="AL97" s="37">
        <f t="shared" si="57"/>
        <v>2.4000000000000004E-2</v>
      </c>
      <c r="AM97" s="37">
        <f t="shared" si="58"/>
        <v>0.59752000000000005</v>
      </c>
      <c r="AN97" s="40">
        <f t="shared" si="66"/>
        <v>0.62152000000000007</v>
      </c>
      <c r="AO97" s="39">
        <f t="shared" si="59"/>
        <v>3.5045157170071986E-3</v>
      </c>
      <c r="AP97" s="37">
        <f t="shared" si="60"/>
        <v>4.5441000000000002E-2</v>
      </c>
      <c r="AQ97" s="40">
        <f t="shared" si="61"/>
        <v>1.0800000000000001E-2</v>
      </c>
      <c r="AR97" s="39">
        <f t="shared" si="67"/>
        <v>1.0298320622947499</v>
      </c>
      <c r="AS97" s="37">
        <f t="shared" si="68"/>
        <v>4.0500000000000007</v>
      </c>
      <c r="AT97" s="40">
        <f t="shared" si="69"/>
        <v>79.72704511358323</v>
      </c>
    </row>
    <row r="98" spans="17:46" x14ac:dyDescent="0.25">
      <c r="Q98">
        <v>91</v>
      </c>
      <c r="R98" s="39">
        <f t="shared" si="45"/>
        <v>135</v>
      </c>
      <c r="S98" s="37">
        <f t="shared" si="46"/>
        <v>3.0333333333333337E-2</v>
      </c>
      <c r="T98" s="37">
        <f t="shared" si="47"/>
        <v>24</v>
      </c>
      <c r="U98" s="40">
        <f t="shared" si="48"/>
        <v>0.18958333333333335</v>
      </c>
      <c r="V98" s="39">
        <f t="shared" si="49"/>
        <v>2</v>
      </c>
      <c r="W98" s="37">
        <f t="shared" si="50"/>
        <v>0.82222222222222219</v>
      </c>
      <c r="X98" s="40">
        <f t="shared" si="51"/>
        <v>0.17777777777777781</v>
      </c>
      <c r="Y98" s="39">
        <f t="shared" si="52"/>
        <v>6.5953654188948316E-2</v>
      </c>
      <c r="Z98" s="37">
        <f t="shared" si="71"/>
        <v>0.22256016042780752</v>
      </c>
      <c r="AA98" s="37">
        <f t="shared" si="72"/>
        <v>0.19053695350994443</v>
      </c>
      <c r="AB98" s="37">
        <v>0</v>
      </c>
      <c r="AC98" s="37">
        <f t="shared" si="53"/>
        <v>3.9934763718135806E-2</v>
      </c>
      <c r="AD98" s="40">
        <f t="shared" si="62"/>
        <v>3.9934763718135806E-2</v>
      </c>
      <c r="AE98" s="39">
        <f t="shared" si="70"/>
        <v>0.15587962962962965</v>
      </c>
      <c r="AF98" s="37">
        <f t="shared" si="63"/>
        <v>0.17277218359932037</v>
      </c>
      <c r="AG98" s="37">
        <f t="shared" si="54"/>
        <v>8.358063679189634E-3</v>
      </c>
      <c r="AH98" s="37">
        <f t="shared" si="55"/>
        <v>0.30466671470131751</v>
      </c>
      <c r="AI98" s="40">
        <f t="shared" si="64"/>
        <v>0.31302477838050713</v>
      </c>
      <c r="AJ98" s="39">
        <f t="shared" si="65"/>
        <v>3.3703703703703715E-2</v>
      </c>
      <c r="AK98" s="37">
        <f t="shared" si="56"/>
        <v>8.0337433536138467E-2</v>
      </c>
      <c r="AL98" s="37">
        <f t="shared" si="57"/>
        <v>2.4266666666666672E-2</v>
      </c>
      <c r="AM98" s="37">
        <f t="shared" si="58"/>
        <v>0.59752000000000005</v>
      </c>
      <c r="AN98" s="40">
        <f t="shared" si="66"/>
        <v>0.62178666666666671</v>
      </c>
      <c r="AO98" s="39">
        <f t="shared" si="59"/>
        <v>3.5820272910812717E-3</v>
      </c>
      <c r="AP98" s="37">
        <f t="shared" si="60"/>
        <v>4.5441000000000002E-2</v>
      </c>
      <c r="AQ98" s="40">
        <f t="shared" si="61"/>
        <v>1.0800000000000001E-2</v>
      </c>
      <c r="AR98" s="39">
        <f t="shared" si="67"/>
        <v>1.0345692360563907</v>
      </c>
      <c r="AS98" s="37">
        <f t="shared" si="68"/>
        <v>4.0950000000000006</v>
      </c>
      <c r="AT98" s="40">
        <f t="shared" si="69"/>
        <v>79.831264801257134</v>
      </c>
    </row>
    <row r="99" spans="17:46" x14ac:dyDescent="0.25">
      <c r="Q99">
        <v>92</v>
      </c>
      <c r="R99" s="39">
        <f t="shared" si="45"/>
        <v>135</v>
      </c>
      <c r="S99" s="37">
        <f t="shared" si="46"/>
        <v>3.0666666666666672E-2</v>
      </c>
      <c r="T99" s="37">
        <f t="shared" si="47"/>
        <v>24</v>
      </c>
      <c r="U99" s="40">
        <f t="shared" si="48"/>
        <v>0.19166666666666668</v>
      </c>
      <c r="V99" s="39">
        <f t="shared" si="49"/>
        <v>2</v>
      </c>
      <c r="W99" s="37">
        <f t="shared" si="50"/>
        <v>0.82222222222222219</v>
      </c>
      <c r="X99" s="40">
        <f t="shared" si="51"/>
        <v>0.17777777777777781</v>
      </c>
      <c r="Y99" s="39">
        <f t="shared" si="52"/>
        <v>6.5953654188948316E-2</v>
      </c>
      <c r="Z99" s="37">
        <f t="shared" si="71"/>
        <v>0.22464349376114084</v>
      </c>
      <c r="AA99" s="37">
        <f t="shared" si="72"/>
        <v>0.19260997244738928</v>
      </c>
      <c r="AB99" s="37">
        <v>0</v>
      </c>
      <c r="AC99" s="37">
        <f t="shared" si="53"/>
        <v>4.0808461634802472E-2</v>
      </c>
      <c r="AD99" s="40">
        <f t="shared" si="62"/>
        <v>4.0808461634802472E-2</v>
      </c>
      <c r="AE99" s="39">
        <f t="shared" si="70"/>
        <v>0.15759259259259259</v>
      </c>
      <c r="AF99" s="37">
        <f t="shared" si="63"/>
        <v>0.17465192399543411</v>
      </c>
      <c r="AG99" s="37">
        <f t="shared" si="54"/>
        <v>8.5409224754859313E-3</v>
      </c>
      <c r="AH99" s="37">
        <f t="shared" si="55"/>
        <v>0.30801470057715613</v>
      </c>
      <c r="AI99" s="40">
        <f t="shared" si="64"/>
        <v>0.31655562305264207</v>
      </c>
      <c r="AJ99" s="39">
        <f t="shared" si="65"/>
        <v>3.4074074074074083E-2</v>
      </c>
      <c r="AK99" s="37">
        <f t="shared" si="56"/>
        <v>8.1211495066136841E-2</v>
      </c>
      <c r="AL99" s="37">
        <f t="shared" si="57"/>
        <v>2.4533333333333338E-2</v>
      </c>
      <c r="AM99" s="37">
        <f t="shared" si="58"/>
        <v>0.59752000000000005</v>
      </c>
      <c r="AN99" s="40">
        <f t="shared" si="66"/>
        <v>0.62205333333333335</v>
      </c>
      <c r="AO99" s="39">
        <f t="shared" si="59"/>
        <v>3.6603953466368272E-3</v>
      </c>
      <c r="AP99" s="37">
        <f t="shared" si="60"/>
        <v>4.5441000000000002E-2</v>
      </c>
      <c r="AQ99" s="40">
        <f t="shared" si="61"/>
        <v>1.0800000000000001E-2</v>
      </c>
      <c r="AR99" s="39">
        <f t="shared" si="67"/>
        <v>1.0393188133674147</v>
      </c>
      <c r="AS99" s="37">
        <f t="shared" si="68"/>
        <v>4.1400000000000006</v>
      </c>
      <c r="AT99" s="40">
        <f t="shared" si="69"/>
        <v>79.933291407259688</v>
      </c>
    </row>
    <row r="100" spans="17:46" x14ac:dyDescent="0.25">
      <c r="Q100">
        <v>93</v>
      </c>
      <c r="R100" s="39">
        <f t="shared" si="45"/>
        <v>135</v>
      </c>
      <c r="S100" s="37">
        <f t="shared" si="46"/>
        <v>3.1000000000000003E-2</v>
      </c>
      <c r="T100" s="37">
        <f t="shared" si="47"/>
        <v>24</v>
      </c>
      <c r="U100" s="40">
        <f t="shared" si="48"/>
        <v>0.19375000000000001</v>
      </c>
      <c r="V100" s="39">
        <f t="shared" si="49"/>
        <v>2</v>
      </c>
      <c r="W100" s="37">
        <f t="shared" si="50"/>
        <v>0.82222222222222219</v>
      </c>
      <c r="X100" s="40">
        <f t="shared" si="51"/>
        <v>0.17777777777777781</v>
      </c>
      <c r="Y100" s="39">
        <f t="shared" si="52"/>
        <v>6.5953654188948316E-2</v>
      </c>
      <c r="Z100" s="37">
        <f t="shared" si="71"/>
        <v>0.22672682709447417</v>
      </c>
      <c r="AA100" s="37">
        <f t="shared" si="72"/>
        <v>0.1946832115901958</v>
      </c>
      <c r="AB100" s="37">
        <v>0</v>
      </c>
      <c r="AC100" s="37">
        <f t="shared" si="53"/>
        <v>4.1691708162580249E-2</v>
      </c>
      <c r="AD100" s="40">
        <f t="shared" si="62"/>
        <v>4.1691708162580249E-2</v>
      </c>
      <c r="AE100" s="39">
        <f t="shared" si="70"/>
        <v>0.15930555555555556</v>
      </c>
      <c r="AF100" s="37">
        <f t="shared" si="63"/>
        <v>0.17653186406599672</v>
      </c>
      <c r="AG100" s="37">
        <f t="shared" si="54"/>
        <v>8.725779728572353E-3</v>
      </c>
      <c r="AH100" s="37">
        <f t="shared" si="55"/>
        <v>0.31136268645299475</v>
      </c>
      <c r="AI100" s="40">
        <f t="shared" si="64"/>
        <v>0.32008846618156711</v>
      </c>
      <c r="AJ100" s="39">
        <f t="shared" si="65"/>
        <v>3.4444444444444451E-2</v>
      </c>
      <c r="AK100" s="37">
        <f t="shared" si="56"/>
        <v>8.2085649442868003E-2</v>
      </c>
      <c r="AL100" s="37">
        <f t="shared" si="57"/>
        <v>2.4800000000000003E-2</v>
      </c>
      <c r="AM100" s="37">
        <f t="shared" si="58"/>
        <v>0.59752000000000005</v>
      </c>
      <c r="AN100" s="40">
        <f t="shared" si="66"/>
        <v>0.6223200000000001</v>
      </c>
      <c r="AO100" s="39">
        <f t="shared" si="59"/>
        <v>3.739619883673865E-3</v>
      </c>
      <c r="AP100" s="37">
        <f t="shared" si="60"/>
        <v>4.5441000000000002E-2</v>
      </c>
      <c r="AQ100" s="40">
        <f t="shared" si="61"/>
        <v>1.0800000000000001E-2</v>
      </c>
      <c r="AR100" s="39">
        <f t="shared" si="67"/>
        <v>1.0440807942278214</v>
      </c>
      <c r="AS100" s="37">
        <f t="shared" si="68"/>
        <v>4.1850000000000005</v>
      </c>
      <c r="AT100" s="40">
        <f t="shared" si="69"/>
        <v>80.033186800625813</v>
      </c>
    </row>
    <row r="101" spans="17:46" x14ac:dyDescent="0.25">
      <c r="Q101">
        <v>94</v>
      </c>
      <c r="R101" s="39">
        <f t="shared" si="45"/>
        <v>135</v>
      </c>
      <c r="S101" s="37">
        <f t="shared" si="46"/>
        <v>3.1333333333333338E-2</v>
      </c>
      <c r="T101" s="37">
        <f t="shared" si="47"/>
        <v>24</v>
      </c>
      <c r="U101" s="40">
        <f t="shared" si="48"/>
        <v>0.19583333333333333</v>
      </c>
      <c r="V101" s="39">
        <f t="shared" si="49"/>
        <v>2</v>
      </c>
      <c r="W101" s="37">
        <f t="shared" si="50"/>
        <v>0.82222222222222219</v>
      </c>
      <c r="X101" s="40">
        <f t="shared" si="51"/>
        <v>0.17777777777777781</v>
      </c>
      <c r="Y101" s="39">
        <f t="shared" si="52"/>
        <v>6.5953654188948316E-2</v>
      </c>
      <c r="Z101" s="37">
        <f t="shared" si="71"/>
        <v>0.2288101604278075</v>
      </c>
      <c r="AA101" s="37">
        <f t="shared" si="72"/>
        <v>0.19675666397740482</v>
      </c>
      <c r="AB101" s="37">
        <v>0</v>
      </c>
      <c r="AC101" s="37">
        <f t="shared" si="53"/>
        <v>4.258450330146913E-2</v>
      </c>
      <c r="AD101" s="40">
        <f t="shared" si="62"/>
        <v>4.258450330146913E-2</v>
      </c>
      <c r="AE101" s="39">
        <f t="shared" si="70"/>
        <v>0.16101851851851851</v>
      </c>
      <c r="AF101" s="37">
        <f t="shared" si="63"/>
        <v>0.17841199749905606</v>
      </c>
      <c r="AG101" s="37">
        <f t="shared" si="54"/>
        <v>8.9126354384488939E-3</v>
      </c>
      <c r="AH101" s="37">
        <f t="shared" si="55"/>
        <v>0.31471067232883343</v>
      </c>
      <c r="AI101" s="40">
        <f t="shared" si="64"/>
        <v>0.32362330776728232</v>
      </c>
      <c r="AJ101" s="39">
        <f t="shared" si="65"/>
        <v>3.4814814814814819E-2</v>
      </c>
      <c r="AK101" s="37">
        <f t="shared" si="56"/>
        <v>8.2959893731333847E-2</v>
      </c>
      <c r="AL101" s="37">
        <f t="shared" si="57"/>
        <v>2.5066666666666671E-2</v>
      </c>
      <c r="AM101" s="37">
        <f t="shared" si="58"/>
        <v>0.59752000000000005</v>
      </c>
      <c r="AN101" s="40">
        <f t="shared" si="66"/>
        <v>0.62258666666666673</v>
      </c>
      <c r="AO101" s="39">
        <f t="shared" si="59"/>
        <v>3.8197009021923825E-3</v>
      </c>
      <c r="AP101" s="37">
        <f t="shared" si="60"/>
        <v>4.5441000000000002E-2</v>
      </c>
      <c r="AQ101" s="40">
        <f t="shared" si="61"/>
        <v>1.0800000000000001E-2</v>
      </c>
      <c r="AR101" s="39">
        <f t="shared" si="67"/>
        <v>1.0488551786376106</v>
      </c>
      <c r="AS101" s="37">
        <f t="shared" si="68"/>
        <v>4.2300000000000004</v>
      </c>
      <c r="AT101" s="40">
        <f t="shared" si="69"/>
        <v>80.131010547853222</v>
      </c>
    </row>
    <row r="102" spans="17:46" x14ac:dyDescent="0.25">
      <c r="Q102">
        <v>95</v>
      </c>
      <c r="R102" s="39">
        <f t="shared" si="45"/>
        <v>135</v>
      </c>
      <c r="S102" s="37">
        <f t="shared" si="46"/>
        <v>3.1666666666666669E-2</v>
      </c>
      <c r="T102" s="37">
        <f t="shared" si="47"/>
        <v>24</v>
      </c>
      <c r="U102" s="40">
        <f t="shared" si="48"/>
        <v>0.19791666666666666</v>
      </c>
      <c r="V102" s="39">
        <f t="shared" si="49"/>
        <v>2</v>
      </c>
      <c r="W102" s="37">
        <f t="shared" si="50"/>
        <v>0.82222222222222219</v>
      </c>
      <c r="X102" s="40">
        <f t="shared" si="51"/>
        <v>0.17777777777777781</v>
      </c>
      <c r="Y102" s="39">
        <f t="shared" si="52"/>
        <v>6.5953654188948316E-2</v>
      </c>
      <c r="Z102" s="37">
        <f t="shared" si="71"/>
        <v>0.23089349376114082</v>
      </c>
      <c r="AA102" s="37">
        <f t="shared" si="72"/>
        <v>0.19883032293771841</v>
      </c>
      <c r="AB102" s="37">
        <v>0</v>
      </c>
      <c r="AC102" s="37">
        <f t="shared" si="53"/>
        <v>4.3486847051469137E-2</v>
      </c>
      <c r="AD102" s="40">
        <f t="shared" si="62"/>
        <v>4.3486847051469137E-2</v>
      </c>
      <c r="AE102" s="39">
        <f t="shared" si="70"/>
        <v>0.16273148148148148</v>
      </c>
      <c r="AF102" s="37">
        <f t="shared" si="63"/>
        <v>0.18029231824531475</v>
      </c>
      <c r="AG102" s="37">
        <f t="shared" si="54"/>
        <v>9.1014896051155609E-3</v>
      </c>
      <c r="AH102" s="37">
        <f t="shared" si="55"/>
        <v>0.31805865820467205</v>
      </c>
      <c r="AI102" s="40">
        <f t="shared" si="64"/>
        <v>0.32716014780978764</v>
      </c>
      <c r="AJ102" s="39">
        <f t="shared" si="65"/>
        <v>3.5185185185185187E-2</v>
      </c>
      <c r="AK102" s="37">
        <f t="shared" si="56"/>
        <v>8.3834225118668199E-2</v>
      </c>
      <c r="AL102" s="37">
        <f t="shared" si="57"/>
        <v>2.5333333333333336E-2</v>
      </c>
      <c r="AM102" s="37">
        <f t="shared" si="58"/>
        <v>0.59752000000000005</v>
      </c>
      <c r="AN102" s="40">
        <f t="shared" si="66"/>
        <v>0.62285333333333337</v>
      </c>
      <c r="AO102" s="39">
        <f t="shared" si="59"/>
        <v>3.9006384021923824E-3</v>
      </c>
      <c r="AP102" s="37">
        <f t="shared" si="60"/>
        <v>4.5441000000000002E-2</v>
      </c>
      <c r="AQ102" s="40">
        <f t="shared" si="61"/>
        <v>1.0800000000000001E-2</v>
      </c>
      <c r="AR102" s="39">
        <f t="shared" si="67"/>
        <v>1.0536419665967824</v>
      </c>
      <c r="AS102" s="37">
        <f t="shared" si="68"/>
        <v>4.2750000000000004</v>
      </c>
      <c r="AT102" s="40">
        <f t="shared" si="69"/>
        <v>80.226820019028111</v>
      </c>
    </row>
    <row r="103" spans="17:46" x14ac:dyDescent="0.25">
      <c r="Q103">
        <v>96</v>
      </c>
      <c r="R103" s="39">
        <f t="shared" si="45"/>
        <v>135</v>
      </c>
      <c r="S103" s="37">
        <f t="shared" ref="S103:S134" si="73">Q103*$O$12</f>
        <v>3.2000000000000001E-2</v>
      </c>
      <c r="T103" s="37">
        <f t="shared" si="47"/>
        <v>24</v>
      </c>
      <c r="U103" s="40">
        <f t="shared" ref="U103:U134" si="74">(R103*S103)/(T103*EFF_est)</f>
        <v>0.2</v>
      </c>
      <c r="V103" s="39">
        <f t="shared" ref="V103:V134" si="75">IF((S103*R103/T103)&lt;((T103*(1-(T103/R103)))/(2*Lm*Fsw)),1,2)</f>
        <v>2</v>
      </c>
      <c r="W103" s="37">
        <f t="shared" ref="W103:W134" si="76">CHOOSE(V103,SQRT((2*S103*Lm*Fsw*(R103-T103))/((T103)^2)),1-(T103/R103))</f>
        <v>0.82222222222222219</v>
      </c>
      <c r="X103" s="40">
        <f t="shared" ref="X103:X134" si="77">CHOOSE(V103,(Lm*W103*Fsw)/(R103-T103),1-W103)</f>
        <v>0.17777777777777781</v>
      </c>
      <c r="Y103" s="39">
        <f t="shared" ref="Y103:Y134" si="78">(T103*W103)/(Lm*Fsw)</f>
        <v>6.5953654188948316E-2</v>
      </c>
      <c r="Z103" s="37">
        <f t="shared" si="71"/>
        <v>0.23297682709447418</v>
      </c>
      <c r="AA103" s="37">
        <f t="shared" si="72"/>
        <v>0.20090418207462221</v>
      </c>
      <c r="AB103" s="37">
        <v>0</v>
      </c>
      <c r="AC103" s="37">
        <f t="shared" ref="AC103:AC134" si="79">(AA103^2)*Rdcr</f>
        <v>4.4398739412580254E-2</v>
      </c>
      <c r="AD103" s="40">
        <f t="shared" si="62"/>
        <v>4.4398739412580254E-2</v>
      </c>
      <c r="AE103" s="39">
        <f t="shared" si="70"/>
        <v>0.16444444444444445</v>
      </c>
      <c r="AF103" s="37">
        <f t="shared" si="63"/>
        <v>0.18217282050463934</v>
      </c>
      <c r="AG103" s="37">
        <f t="shared" ref="AG103:AG134" si="80">(AF103^2)*RDS_on</f>
        <v>9.2923422285723541E-3</v>
      </c>
      <c r="AH103" s="37">
        <f t="shared" ref="AH103:AH134" si="81">((R103*U103)/2)*Fsw*(tr_sw+tf_sw)</f>
        <v>0.32140664408051073</v>
      </c>
      <c r="AI103" s="40">
        <f t="shared" si="64"/>
        <v>0.33069898630908307</v>
      </c>
      <c r="AJ103" s="39">
        <f t="shared" si="65"/>
        <v>3.5555555555555562E-2</v>
      </c>
      <c r="AK103" s="37">
        <f t="shared" ref="AK103:AK134" si="82">CHOOSE(V103,Z103*SQRT(X103/3),SQRT(X103*((Z103^2)+((Y103^2)/3)-(Y103*Z103))))</f>
        <v>8.47086409078638E-2</v>
      </c>
      <c r="AL103" s="37">
        <f t="shared" ref="AL103:AL134" si="83">S103*Vd_rect</f>
        <v>2.5600000000000001E-2</v>
      </c>
      <c r="AM103" s="37">
        <f t="shared" ref="AM103:AM134" si="84">CHOOSE(V103,(R103+Vd_rect)*Qrr*Fsw,(R103+Vd_rect)*Qrr*Fsw)</f>
        <v>0.59752000000000005</v>
      </c>
      <c r="AN103" s="40">
        <f t="shared" si="66"/>
        <v>0.62312000000000001</v>
      </c>
      <c r="AO103" s="39">
        <f t="shared" ref="AO103:AO134" si="85">(AF103^2)*R_cs</f>
        <v>3.9824323836738654E-3</v>
      </c>
      <c r="AP103" s="37">
        <f t="shared" ref="AP103:AP134" si="86">Qg_tot*Vcc*Fsw</f>
        <v>4.5441000000000002E-2</v>
      </c>
      <c r="AQ103" s="40">
        <f t="shared" ref="AQ103:AQ134" si="87">IQ*T103</f>
        <v>1.0800000000000001E-2</v>
      </c>
      <c r="AR103" s="39">
        <f t="shared" si="67"/>
        <v>1.0584411581053372</v>
      </c>
      <c r="AS103" s="37">
        <f t="shared" si="68"/>
        <v>4.32</v>
      </c>
      <c r="AT103" s="40">
        <f t="shared" si="69"/>
        <v>80.320670488134638</v>
      </c>
    </row>
    <row r="104" spans="17:46" x14ac:dyDescent="0.25">
      <c r="Q104">
        <v>97</v>
      </c>
      <c r="R104" s="39">
        <f t="shared" si="45"/>
        <v>135</v>
      </c>
      <c r="S104" s="37">
        <f t="shared" si="73"/>
        <v>3.2333333333333339E-2</v>
      </c>
      <c r="T104" s="37">
        <f t="shared" si="47"/>
        <v>24</v>
      </c>
      <c r="U104" s="40">
        <f t="shared" si="74"/>
        <v>0.20208333333333336</v>
      </c>
      <c r="V104" s="39">
        <f t="shared" si="75"/>
        <v>2</v>
      </c>
      <c r="W104" s="37">
        <f t="shared" si="76"/>
        <v>0.82222222222222219</v>
      </c>
      <c r="X104" s="40">
        <f t="shared" si="77"/>
        <v>0.17777777777777781</v>
      </c>
      <c r="Y104" s="39">
        <f t="shared" si="78"/>
        <v>6.5953654188948316E-2</v>
      </c>
      <c r="Z104" s="37">
        <f t="shared" si="71"/>
        <v>0.23506016042780753</v>
      </c>
      <c r="AA104" s="37">
        <f t="shared" si="72"/>
        <v>0.20297823525241337</v>
      </c>
      <c r="AB104" s="37">
        <v>0</v>
      </c>
      <c r="AC104" s="37">
        <f t="shared" si="79"/>
        <v>4.5320180384802483E-2</v>
      </c>
      <c r="AD104" s="40">
        <f t="shared" si="62"/>
        <v>4.5320180384802483E-2</v>
      </c>
      <c r="AE104" s="39">
        <f t="shared" si="70"/>
        <v>0.16615740740740742</v>
      </c>
      <c r="AF104" s="37">
        <f t="shared" si="63"/>
        <v>0.18405349871339105</v>
      </c>
      <c r="AG104" s="37">
        <f t="shared" si="80"/>
        <v>9.4851933088192682E-3</v>
      </c>
      <c r="AH104" s="37">
        <f t="shared" si="81"/>
        <v>0.32475462995634941</v>
      </c>
      <c r="AI104" s="40">
        <f t="shared" si="64"/>
        <v>0.33423982326516866</v>
      </c>
      <c r="AJ104" s="39">
        <f t="shared" si="65"/>
        <v>3.5925925925925938E-2</v>
      </c>
      <c r="AK104" s="37">
        <f t="shared" si="82"/>
        <v>8.5583138511881165E-2</v>
      </c>
      <c r="AL104" s="37">
        <f t="shared" si="83"/>
        <v>2.5866666666666673E-2</v>
      </c>
      <c r="AM104" s="37">
        <f t="shared" si="84"/>
        <v>0.59752000000000005</v>
      </c>
      <c r="AN104" s="40">
        <f t="shared" si="66"/>
        <v>0.62338666666666676</v>
      </c>
      <c r="AO104" s="39">
        <f t="shared" si="85"/>
        <v>4.0650828466368286E-3</v>
      </c>
      <c r="AP104" s="37">
        <f t="shared" si="86"/>
        <v>4.5441000000000002E-2</v>
      </c>
      <c r="AQ104" s="40">
        <f t="shared" si="87"/>
        <v>1.0800000000000001E-2</v>
      </c>
      <c r="AR104" s="39">
        <f t="shared" si="67"/>
        <v>1.0632527531632747</v>
      </c>
      <c r="AS104" s="37">
        <f t="shared" si="68"/>
        <v>4.3650000000000011</v>
      </c>
      <c r="AT104" s="40">
        <f t="shared" si="69"/>
        <v>80.412615227917087</v>
      </c>
    </row>
    <row r="105" spans="17:46" x14ac:dyDescent="0.25">
      <c r="Q105">
        <v>98</v>
      </c>
      <c r="R105" s="39">
        <f t="shared" si="45"/>
        <v>135</v>
      </c>
      <c r="S105" s="37">
        <f t="shared" si="73"/>
        <v>3.266666666666667E-2</v>
      </c>
      <c r="T105" s="37">
        <f t="shared" si="47"/>
        <v>24</v>
      </c>
      <c r="U105" s="40">
        <f t="shared" si="74"/>
        <v>0.20416666666666666</v>
      </c>
      <c r="V105" s="39">
        <f t="shared" si="75"/>
        <v>2</v>
      </c>
      <c r="W105" s="37">
        <f t="shared" si="76"/>
        <v>0.82222222222222219</v>
      </c>
      <c r="X105" s="40">
        <f t="shared" si="77"/>
        <v>0.17777777777777781</v>
      </c>
      <c r="Y105" s="39">
        <f t="shared" si="78"/>
        <v>6.5953654188948316E-2</v>
      </c>
      <c r="Z105" s="37">
        <f t="shared" si="71"/>
        <v>0.23714349376114083</v>
      </c>
      <c r="AA105" s="37">
        <f t="shared" si="72"/>
        <v>0.2050524765830706</v>
      </c>
      <c r="AB105" s="37">
        <v>0</v>
      </c>
      <c r="AC105" s="37">
        <f t="shared" si="79"/>
        <v>4.6251169968135789E-2</v>
      </c>
      <c r="AD105" s="40">
        <f t="shared" si="62"/>
        <v>4.6251169968135789E-2</v>
      </c>
      <c r="AE105" s="39">
        <f t="shared" si="70"/>
        <v>0.16787037037037036</v>
      </c>
      <c r="AF105" s="37">
        <f t="shared" si="63"/>
        <v>0.18593434753252003</v>
      </c>
      <c r="AG105" s="37">
        <f t="shared" si="80"/>
        <v>9.6800428458563032E-3</v>
      </c>
      <c r="AH105" s="37">
        <f t="shared" si="81"/>
        <v>0.32810261583218803</v>
      </c>
      <c r="AI105" s="40">
        <f t="shared" si="64"/>
        <v>0.33778265867804436</v>
      </c>
      <c r="AJ105" s="39">
        <f t="shared" si="65"/>
        <v>3.6296296296296306E-2</v>
      </c>
      <c r="AK105" s="37">
        <f t="shared" si="82"/>
        <v>8.6457715448112538E-2</v>
      </c>
      <c r="AL105" s="37">
        <f t="shared" si="83"/>
        <v>2.6133333333333338E-2</v>
      </c>
      <c r="AM105" s="37">
        <f t="shared" si="84"/>
        <v>0.59752000000000005</v>
      </c>
      <c r="AN105" s="40">
        <f t="shared" si="66"/>
        <v>0.62365333333333339</v>
      </c>
      <c r="AO105" s="39">
        <f t="shared" si="85"/>
        <v>4.1485897910812719E-3</v>
      </c>
      <c r="AP105" s="37">
        <f t="shared" si="86"/>
        <v>4.5441000000000002E-2</v>
      </c>
      <c r="AQ105" s="40">
        <f t="shared" si="87"/>
        <v>1.0800000000000001E-2</v>
      </c>
      <c r="AR105" s="39">
        <f t="shared" si="67"/>
        <v>1.0680767517705947</v>
      </c>
      <c r="AS105" s="37">
        <f t="shared" si="68"/>
        <v>4.41</v>
      </c>
      <c r="AT105" s="40">
        <f t="shared" si="69"/>
        <v>80.502705599636286</v>
      </c>
    </row>
    <row r="106" spans="17:46" x14ac:dyDescent="0.25">
      <c r="Q106">
        <v>99</v>
      </c>
      <c r="R106" s="39">
        <f t="shared" si="45"/>
        <v>135</v>
      </c>
      <c r="S106" s="37">
        <f t="shared" si="73"/>
        <v>3.3000000000000002E-2</v>
      </c>
      <c r="T106" s="37">
        <f t="shared" si="47"/>
        <v>24</v>
      </c>
      <c r="U106" s="40">
        <f t="shared" si="74"/>
        <v>0.20624999999999999</v>
      </c>
      <c r="V106" s="39">
        <f t="shared" si="75"/>
        <v>2</v>
      </c>
      <c r="W106" s="37">
        <f t="shared" si="76"/>
        <v>0.82222222222222219</v>
      </c>
      <c r="X106" s="40">
        <f t="shared" si="77"/>
        <v>0.17777777777777781</v>
      </c>
      <c r="Y106" s="39">
        <f t="shared" si="78"/>
        <v>6.5953654188948316E-2</v>
      </c>
      <c r="Z106" s="37">
        <f t="shared" si="71"/>
        <v>0.23922682709447415</v>
      </c>
      <c r="AA106" s="37">
        <f t="shared" si="72"/>
        <v>0.20712690041390794</v>
      </c>
      <c r="AB106" s="37">
        <v>0</v>
      </c>
      <c r="AC106" s="37">
        <f t="shared" si="79"/>
        <v>4.7191708162580233E-2</v>
      </c>
      <c r="AD106" s="40">
        <f t="shared" si="62"/>
        <v>4.7191708162580233E-2</v>
      </c>
      <c r="AE106" s="39">
        <f t="shared" si="70"/>
        <v>0.16958333333333331</v>
      </c>
      <c r="AF106" s="37">
        <f t="shared" si="63"/>
        <v>0.18781536183637015</v>
      </c>
      <c r="AG106" s="37">
        <f t="shared" si="80"/>
        <v>9.8768908396834627E-3</v>
      </c>
      <c r="AH106" s="37">
        <f t="shared" si="81"/>
        <v>0.3314506017080267</v>
      </c>
      <c r="AI106" s="40">
        <f t="shared" si="64"/>
        <v>0.34132749254771017</v>
      </c>
      <c r="AJ106" s="39">
        <f t="shared" si="65"/>
        <v>3.6666666666666674E-2</v>
      </c>
      <c r="AK106" s="37">
        <f t="shared" si="82"/>
        <v>8.7332369333176244E-2</v>
      </c>
      <c r="AL106" s="37">
        <f t="shared" si="83"/>
        <v>2.6400000000000003E-2</v>
      </c>
      <c r="AM106" s="37">
        <f t="shared" si="84"/>
        <v>0.59752000000000005</v>
      </c>
      <c r="AN106" s="40">
        <f t="shared" si="66"/>
        <v>0.62392000000000003</v>
      </c>
      <c r="AO106" s="39">
        <f t="shared" si="85"/>
        <v>4.232953217007198E-3</v>
      </c>
      <c r="AP106" s="37">
        <f t="shared" si="86"/>
        <v>4.5441000000000002E-2</v>
      </c>
      <c r="AQ106" s="40">
        <f t="shared" si="87"/>
        <v>1.0800000000000001E-2</v>
      </c>
      <c r="AR106" s="39">
        <f t="shared" si="67"/>
        <v>1.0729131539272978</v>
      </c>
      <c r="AS106" s="37">
        <f t="shared" si="68"/>
        <v>4.4550000000000001</v>
      </c>
      <c r="AT106" s="40">
        <f t="shared" si="69"/>
        <v>80.590991138038277</v>
      </c>
    </row>
    <row r="107" spans="17:46" x14ac:dyDescent="0.25">
      <c r="Q107">
        <v>100</v>
      </c>
      <c r="R107" s="39">
        <f t="shared" si="45"/>
        <v>135</v>
      </c>
      <c r="S107" s="37">
        <f t="shared" si="73"/>
        <v>3.333333333333334E-2</v>
      </c>
      <c r="T107" s="37">
        <f t="shared" si="47"/>
        <v>24</v>
      </c>
      <c r="U107" s="40">
        <f t="shared" si="74"/>
        <v>0.20833333333333337</v>
      </c>
      <c r="V107" s="39">
        <f t="shared" si="75"/>
        <v>2</v>
      </c>
      <c r="W107" s="37">
        <f t="shared" si="76"/>
        <v>0.82222222222222219</v>
      </c>
      <c r="X107" s="40">
        <f t="shared" si="77"/>
        <v>0.17777777777777781</v>
      </c>
      <c r="Y107" s="39">
        <f t="shared" si="78"/>
        <v>6.5953654188948316E-2</v>
      </c>
      <c r="Z107" s="37">
        <f t="shared" si="71"/>
        <v>0.24131016042780754</v>
      </c>
      <c r="AA107" s="37">
        <f t="shared" si="72"/>
        <v>0.20920150131595791</v>
      </c>
      <c r="AB107" s="37">
        <v>0</v>
      </c>
      <c r="AC107" s="37">
        <f t="shared" si="79"/>
        <v>4.8141794968135823E-2</v>
      </c>
      <c r="AD107" s="40">
        <f t="shared" si="62"/>
        <v>4.8141794968135823E-2</v>
      </c>
      <c r="AE107" s="39">
        <f t="shared" si="70"/>
        <v>0.17129629629629631</v>
      </c>
      <c r="AF107" s="37">
        <f t="shared" si="63"/>
        <v>0.18969653670214537</v>
      </c>
      <c r="AG107" s="37">
        <f t="shared" si="80"/>
        <v>1.007573729030075E-2</v>
      </c>
      <c r="AH107" s="37">
        <f t="shared" si="81"/>
        <v>0.33479858758386538</v>
      </c>
      <c r="AI107" s="40">
        <f t="shared" si="64"/>
        <v>0.34487432487416614</v>
      </c>
      <c r="AJ107" s="39">
        <f t="shared" si="65"/>
        <v>3.7037037037037049E-2</v>
      </c>
      <c r="AK107" s="37">
        <f t="shared" si="82"/>
        <v>8.8207097878018614E-2</v>
      </c>
      <c r="AL107" s="37">
        <f t="shared" si="83"/>
        <v>2.6666666666666672E-2</v>
      </c>
      <c r="AM107" s="37">
        <f t="shared" si="84"/>
        <v>0.59752000000000005</v>
      </c>
      <c r="AN107" s="40">
        <f t="shared" si="66"/>
        <v>0.62418666666666667</v>
      </c>
      <c r="AO107" s="39">
        <f t="shared" si="85"/>
        <v>4.318173124414606E-3</v>
      </c>
      <c r="AP107" s="37">
        <f t="shared" si="86"/>
        <v>4.5441000000000002E-2</v>
      </c>
      <c r="AQ107" s="40">
        <f t="shared" si="87"/>
        <v>1.0800000000000001E-2</v>
      </c>
      <c r="AR107" s="39">
        <f t="shared" si="67"/>
        <v>1.0777619596333832</v>
      </c>
      <c r="AS107" s="37">
        <f t="shared" si="68"/>
        <v>4.5000000000000009</v>
      </c>
      <c r="AT107" s="40">
        <f t="shared" si="69"/>
        <v>80.677519631830577</v>
      </c>
    </row>
    <row r="108" spans="17:46" x14ac:dyDescent="0.25">
      <c r="Q108">
        <v>101</v>
      </c>
      <c r="R108" s="39">
        <f t="shared" si="45"/>
        <v>135</v>
      </c>
      <c r="S108" s="37">
        <f t="shared" si="73"/>
        <v>3.3666666666666671E-2</v>
      </c>
      <c r="T108" s="37">
        <f t="shared" si="47"/>
        <v>24</v>
      </c>
      <c r="U108" s="40">
        <f t="shared" si="74"/>
        <v>0.2104166666666667</v>
      </c>
      <c r="V108" s="39">
        <f t="shared" si="75"/>
        <v>2</v>
      </c>
      <c r="W108" s="37">
        <f t="shared" si="76"/>
        <v>0.82222222222222219</v>
      </c>
      <c r="X108" s="40">
        <f t="shared" si="77"/>
        <v>0.17777777777777781</v>
      </c>
      <c r="Y108" s="39">
        <f t="shared" si="78"/>
        <v>6.5953654188948316E-2</v>
      </c>
      <c r="Z108" s="37">
        <f t="shared" si="71"/>
        <v>0.24339349376114086</v>
      </c>
      <c r="AA108" s="37">
        <f t="shared" si="72"/>
        <v>0.21127627407303468</v>
      </c>
      <c r="AB108" s="37">
        <v>0</v>
      </c>
      <c r="AC108" s="37">
        <f t="shared" si="79"/>
        <v>4.9101430384802476E-2</v>
      </c>
      <c r="AD108" s="40">
        <f t="shared" si="62"/>
        <v>4.9101430384802476E-2</v>
      </c>
      <c r="AE108" s="39">
        <f t="shared" si="70"/>
        <v>0.17300925925925928</v>
      </c>
      <c r="AF108" s="37">
        <f t="shared" si="63"/>
        <v>0.19157786739999255</v>
      </c>
      <c r="AG108" s="37">
        <f t="shared" si="80"/>
        <v>1.0276582197708158E-2</v>
      </c>
      <c r="AH108" s="37">
        <f t="shared" si="81"/>
        <v>0.33814657345970406</v>
      </c>
      <c r="AI108" s="40">
        <f t="shared" si="64"/>
        <v>0.34842315565741222</v>
      </c>
      <c r="AJ108" s="39">
        <f t="shared" si="65"/>
        <v>3.7407407407407417E-2</v>
      </c>
      <c r="AK108" s="37">
        <f t="shared" si="82"/>
        <v>8.9081898883302604E-2</v>
      </c>
      <c r="AL108" s="37">
        <f t="shared" si="83"/>
        <v>2.6933333333333337E-2</v>
      </c>
      <c r="AM108" s="37">
        <f t="shared" si="84"/>
        <v>0.59752000000000005</v>
      </c>
      <c r="AN108" s="40">
        <f t="shared" si="66"/>
        <v>0.62445333333333342</v>
      </c>
      <c r="AO108" s="39">
        <f t="shared" si="85"/>
        <v>4.404249513303495E-3</v>
      </c>
      <c r="AP108" s="37">
        <f t="shared" si="86"/>
        <v>4.5441000000000002E-2</v>
      </c>
      <c r="AQ108" s="40">
        <f t="shared" si="87"/>
        <v>1.0800000000000001E-2</v>
      </c>
      <c r="AR108" s="39">
        <f t="shared" si="67"/>
        <v>1.0826231688888517</v>
      </c>
      <c r="AS108" s="37">
        <f t="shared" si="68"/>
        <v>4.5450000000000008</v>
      </c>
      <c r="AT108" s="40">
        <f t="shared" si="69"/>
        <v>80.762337199940646</v>
      </c>
    </row>
    <row r="109" spans="17:46" x14ac:dyDescent="0.25">
      <c r="Q109">
        <v>102</v>
      </c>
      <c r="R109" s="39">
        <f t="shared" si="45"/>
        <v>135</v>
      </c>
      <c r="S109" s="37">
        <f t="shared" si="73"/>
        <v>3.4000000000000002E-2</v>
      </c>
      <c r="T109" s="37">
        <f t="shared" si="47"/>
        <v>24</v>
      </c>
      <c r="U109" s="40">
        <f t="shared" si="74"/>
        <v>0.21250000000000002</v>
      </c>
      <c r="V109" s="39">
        <f t="shared" si="75"/>
        <v>2</v>
      </c>
      <c r="W109" s="37">
        <f t="shared" si="76"/>
        <v>0.82222222222222219</v>
      </c>
      <c r="X109" s="40">
        <f t="shared" si="77"/>
        <v>0.17777777777777781</v>
      </c>
      <c r="Y109" s="39">
        <f t="shared" si="78"/>
        <v>6.5953654188948316E-2</v>
      </c>
      <c r="Z109" s="37">
        <f t="shared" si="71"/>
        <v>0.24547682709447419</v>
      </c>
      <c r="AA109" s="37">
        <f t="shared" si="72"/>
        <v>0.21335121367143181</v>
      </c>
      <c r="AB109" s="37">
        <v>0</v>
      </c>
      <c r="AC109" s="37">
        <f t="shared" si="79"/>
        <v>5.0070614412580254E-2</v>
      </c>
      <c r="AD109" s="40">
        <f t="shared" si="62"/>
        <v>5.0070614412580254E-2</v>
      </c>
      <c r="AE109" s="39">
        <f t="shared" si="70"/>
        <v>0.17472222222222222</v>
      </c>
      <c r="AF109" s="37">
        <f t="shared" si="63"/>
        <v>0.19345934938365961</v>
      </c>
      <c r="AG109" s="37">
        <f t="shared" si="80"/>
        <v>1.0479425561905686E-2</v>
      </c>
      <c r="AH109" s="37">
        <f t="shared" si="81"/>
        <v>0.34149455933554268</v>
      </c>
      <c r="AI109" s="40">
        <f t="shared" si="64"/>
        <v>0.35197398489744836</v>
      </c>
      <c r="AJ109" s="39">
        <f t="shared" si="65"/>
        <v>3.7777777777777792E-2</v>
      </c>
      <c r="AK109" s="37">
        <f t="shared" si="82"/>
        <v>8.9956770235063932E-2</v>
      </c>
      <c r="AL109" s="37">
        <f t="shared" si="83"/>
        <v>2.7200000000000002E-2</v>
      </c>
      <c r="AM109" s="37">
        <f t="shared" si="84"/>
        <v>0.59752000000000005</v>
      </c>
      <c r="AN109" s="40">
        <f t="shared" si="66"/>
        <v>0.62472000000000005</v>
      </c>
      <c r="AO109" s="39">
        <f t="shared" si="85"/>
        <v>4.4911823836738651E-3</v>
      </c>
      <c r="AP109" s="37">
        <f t="shared" si="86"/>
        <v>4.5441000000000002E-2</v>
      </c>
      <c r="AQ109" s="40">
        <f t="shared" si="87"/>
        <v>1.0800000000000001E-2</v>
      </c>
      <c r="AR109" s="39">
        <f t="shared" si="67"/>
        <v>1.0874967816937025</v>
      </c>
      <c r="AS109" s="37">
        <f t="shared" si="68"/>
        <v>4.5900000000000007</v>
      </c>
      <c r="AT109" s="40">
        <f t="shared" si="69"/>
        <v>80.845488363812308</v>
      </c>
    </row>
    <row r="110" spans="17:46" x14ac:dyDescent="0.25">
      <c r="Q110">
        <v>103</v>
      </c>
      <c r="R110" s="39">
        <f t="shared" si="45"/>
        <v>135</v>
      </c>
      <c r="S110" s="37">
        <f t="shared" si="73"/>
        <v>3.4333333333333341E-2</v>
      </c>
      <c r="T110" s="37">
        <f t="shared" si="47"/>
        <v>24</v>
      </c>
      <c r="U110" s="40">
        <f t="shared" si="74"/>
        <v>0.21458333333333335</v>
      </c>
      <c r="V110" s="39">
        <f t="shared" si="75"/>
        <v>2</v>
      </c>
      <c r="W110" s="37">
        <f t="shared" si="76"/>
        <v>0.82222222222222219</v>
      </c>
      <c r="X110" s="40">
        <f t="shared" si="77"/>
        <v>0.17777777777777781</v>
      </c>
      <c r="Y110" s="39">
        <f t="shared" si="78"/>
        <v>6.5953654188948316E-2</v>
      </c>
      <c r="Z110" s="37">
        <f t="shared" si="71"/>
        <v>0.24756016042780751</v>
      </c>
      <c r="AA110" s="37">
        <f t="shared" si="72"/>
        <v>0.215426315290211</v>
      </c>
      <c r="AB110" s="37">
        <v>0</v>
      </c>
      <c r="AC110" s="37">
        <f t="shared" si="79"/>
        <v>5.1049347051469143E-2</v>
      </c>
      <c r="AD110" s="40">
        <f t="shared" si="62"/>
        <v>5.1049347051469143E-2</v>
      </c>
      <c r="AE110" s="39">
        <f t="shared" si="70"/>
        <v>0.17643518518518519</v>
      </c>
      <c r="AF110" s="37">
        <f t="shared" si="63"/>
        <v>0.19534097828168986</v>
      </c>
      <c r="AG110" s="37">
        <f t="shared" si="80"/>
        <v>1.0684267382893338E-2</v>
      </c>
      <c r="AH110" s="37">
        <f t="shared" si="81"/>
        <v>0.34484254521138136</v>
      </c>
      <c r="AI110" s="40">
        <f t="shared" si="64"/>
        <v>0.35552681259427471</v>
      </c>
      <c r="AJ110" s="39">
        <f t="shared" si="65"/>
        <v>3.814814814814816E-2</v>
      </c>
      <c r="AK110" s="37">
        <f t="shared" si="82"/>
        <v>9.0831709900616536E-2</v>
      </c>
      <c r="AL110" s="37">
        <f t="shared" si="83"/>
        <v>2.7466666666666674E-2</v>
      </c>
      <c r="AM110" s="37">
        <f t="shared" si="84"/>
        <v>0.59752000000000005</v>
      </c>
      <c r="AN110" s="40">
        <f t="shared" si="66"/>
        <v>0.62498666666666669</v>
      </c>
      <c r="AO110" s="39">
        <f t="shared" si="85"/>
        <v>4.5789717355257161E-3</v>
      </c>
      <c r="AP110" s="37">
        <f t="shared" si="86"/>
        <v>4.5441000000000002E-2</v>
      </c>
      <c r="AQ110" s="40">
        <f t="shared" si="87"/>
        <v>1.0800000000000001E-2</v>
      </c>
      <c r="AR110" s="39">
        <f t="shared" si="67"/>
        <v>1.0923827980479364</v>
      </c>
      <c r="AS110" s="37">
        <f t="shared" si="68"/>
        <v>4.6350000000000007</v>
      </c>
      <c r="AT110" s="40">
        <f t="shared" si="69"/>
        <v>80.927016115977906</v>
      </c>
    </row>
    <row r="111" spans="17:46" x14ac:dyDescent="0.25">
      <c r="Q111">
        <v>104</v>
      </c>
      <c r="R111" s="39">
        <f t="shared" si="45"/>
        <v>135</v>
      </c>
      <c r="S111" s="37">
        <f t="shared" si="73"/>
        <v>3.4666666666666672E-2</v>
      </c>
      <c r="T111" s="37">
        <f t="shared" si="47"/>
        <v>24</v>
      </c>
      <c r="U111" s="40">
        <f t="shared" si="74"/>
        <v>0.21666666666666667</v>
      </c>
      <c r="V111" s="39">
        <f t="shared" si="75"/>
        <v>2</v>
      </c>
      <c r="W111" s="37">
        <f t="shared" si="76"/>
        <v>0.82222222222222219</v>
      </c>
      <c r="X111" s="40">
        <f t="shared" si="77"/>
        <v>0.17777777777777781</v>
      </c>
      <c r="Y111" s="39">
        <f t="shared" si="78"/>
        <v>6.5953654188948316E-2</v>
      </c>
      <c r="Z111" s="37">
        <f t="shared" si="71"/>
        <v>0.24964349376114084</v>
      </c>
      <c r="AA111" s="37">
        <f t="shared" si="72"/>
        <v>0.21750157429204367</v>
      </c>
      <c r="AB111" s="37">
        <v>0</v>
      </c>
      <c r="AC111" s="37">
        <f t="shared" si="79"/>
        <v>5.2037628301469137E-2</v>
      </c>
      <c r="AD111" s="40">
        <f t="shared" si="62"/>
        <v>5.2037628301469137E-2</v>
      </c>
      <c r="AE111" s="39">
        <f t="shared" si="70"/>
        <v>0.17814814814814814</v>
      </c>
      <c r="AF111" s="37">
        <f t="shared" si="63"/>
        <v>0.19722274988911753</v>
      </c>
      <c r="AG111" s="37">
        <f t="shared" si="80"/>
        <v>1.0891107660671116E-2</v>
      </c>
      <c r="AH111" s="37">
        <f t="shared" si="81"/>
        <v>0.34819053108721998</v>
      </c>
      <c r="AI111" s="40">
        <f t="shared" si="64"/>
        <v>0.35908163874789112</v>
      </c>
      <c r="AJ111" s="39">
        <f t="shared" si="65"/>
        <v>3.8518518518518528E-2</v>
      </c>
      <c r="AK111" s="37">
        <f t="shared" si="82"/>
        <v>9.1706715924691054E-2</v>
      </c>
      <c r="AL111" s="37">
        <f t="shared" si="83"/>
        <v>2.7733333333333339E-2</v>
      </c>
      <c r="AM111" s="37">
        <f t="shared" si="84"/>
        <v>0.59752000000000005</v>
      </c>
      <c r="AN111" s="40">
        <f t="shared" si="66"/>
        <v>0.62525333333333344</v>
      </c>
      <c r="AO111" s="39">
        <f t="shared" si="85"/>
        <v>4.6676175688590482E-3</v>
      </c>
      <c r="AP111" s="37">
        <f t="shared" si="86"/>
        <v>4.5441000000000002E-2</v>
      </c>
      <c r="AQ111" s="40">
        <f t="shared" si="87"/>
        <v>1.0800000000000001E-2</v>
      </c>
      <c r="AR111" s="39">
        <f t="shared" si="67"/>
        <v>1.0972812179515528</v>
      </c>
      <c r="AS111" s="37">
        <f t="shared" si="68"/>
        <v>4.6800000000000006</v>
      </c>
      <c r="AT111" s="40">
        <f t="shared" si="69"/>
        <v>81.006961985128797</v>
      </c>
    </row>
    <row r="112" spans="17:46" x14ac:dyDescent="0.25">
      <c r="Q112">
        <v>105</v>
      </c>
      <c r="R112" s="39">
        <f t="shared" si="45"/>
        <v>135</v>
      </c>
      <c r="S112" s="37">
        <f t="shared" si="73"/>
        <v>3.5000000000000003E-2</v>
      </c>
      <c r="T112" s="37">
        <f t="shared" si="47"/>
        <v>24</v>
      </c>
      <c r="U112" s="40">
        <f t="shared" si="74"/>
        <v>0.21875</v>
      </c>
      <c r="V112" s="39">
        <f t="shared" si="75"/>
        <v>2</v>
      </c>
      <c r="W112" s="37">
        <f t="shared" si="76"/>
        <v>0.82222222222222219</v>
      </c>
      <c r="X112" s="40">
        <f t="shared" si="77"/>
        <v>0.17777777777777781</v>
      </c>
      <c r="Y112" s="39">
        <f t="shared" si="78"/>
        <v>6.5953654188948316E-2</v>
      </c>
      <c r="Z112" s="37">
        <f t="shared" si="71"/>
        <v>0.25172682709447414</v>
      </c>
      <c r="AA112" s="37">
        <f t="shared" si="72"/>
        <v>0.21957698621456881</v>
      </c>
      <c r="AB112" s="37">
        <v>0</v>
      </c>
      <c r="AC112" s="37">
        <f t="shared" si="79"/>
        <v>5.3035458162580235E-2</v>
      </c>
      <c r="AD112" s="40">
        <f t="shared" si="62"/>
        <v>5.3035458162580235E-2</v>
      </c>
      <c r="AE112" s="39">
        <f t="shared" si="70"/>
        <v>0.17986111111111111</v>
      </c>
      <c r="AF112" s="37">
        <f t="shared" si="63"/>
        <v>0.1991046601596311</v>
      </c>
      <c r="AG112" s="37">
        <f t="shared" si="80"/>
        <v>1.1099946395239015E-2</v>
      </c>
      <c r="AH112" s="37">
        <f t="shared" si="81"/>
        <v>0.3515385169630586</v>
      </c>
      <c r="AI112" s="40">
        <f t="shared" si="64"/>
        <v>0.36263846335829764</v>
      </c>
      <c r="AJ112" s="39">
        <f t="shared" si="65"/>
        <v>3.8888888888888896E-2</v>
      </c>
      <c r="AK112" s="37">
        <f t="shared" si="82"/>
        <v>9.2581786425790819E-2</v>
      </c>
      <c r="AL112" s="37">
        <f t="shared" si="83"/>
        <v>2.8000000000000004E-2</v>
      </c>
      <c r="AM112" s="37">
        <f t="shared" si="84"/>
        <v>0.59752000000000005</v>
      </c>
      <c r="AN112" s="40">
        <f t="shared" si="66"/>
        <v>0.62552000000000008</v>
      </c>
      <c r="AO112" s="39">
        <f t="shared" si="85"/>
        <v>4.757119883673863E-3</v>
      </c>
      <c r="AP112" s="37">
        <f t="shared" si="86"/>
        <v>4.5441000000000002E-2</v>
      </c>
      <c r="AQ112" s="40">
        <f t="shared" si="87"/>
        <v>1.0800000000000001E-2</v>
      </c>
      <c r="AR112" s="39">
        <f t="shared" si="67"/>
        <v>1.1021920414045518</v>
      </c>
      <c r="AS112" s="37">
        <f t="shared" si="68"/>
        <v>4.7250000000000005</v>
      </c>
      <c r="AT112" s="40">
        <f t="shared" si="69"/>
        <v>81.085366097890159</v>
      </c>
    </row>
    <row r="113" spans="17:46" x14ac:dyDescent="0.25">
      <c r="Q113">
        <v>106</v>
      </c>
      <c r="R113" s="39">
        <f t="shared" si="45"/>
        <v>135</v>
      </c>
      <c r="S113" s="37">
        <f t="shared" si="73"/>
        <v>3.5333333333333335E-2</v>
      </c>
      <c r="T113" s="37">
        <f t="shared" si="47"/>
        <v>24</v>
      </c>
      <c r="U113" s="40">
        <f t="shared" si="74"/>
        <v>0.22083333333333335</v>
      </c>
      <c r="V113" s="39">
        <f t="shared" si="75"/>
        <v>2</v>
      </c>
      <c r="W113" s="37">
        <f t="shared" si="76"/>
        <v>0.82222222222222219</v>
      </c>
      <c r="X113" s="40">
        <f t="shared" si="77"/>
        <v>0.17777777777777781</v>
      </c>
      <c r="Y113" s="39">
        <f t="shared" si="78"/>
        <v>6.5953654188948316E-2</v>
      </c>
      <c r="Z113" s="37">
        <f t="shared" si="71"/>
        <v>0.25381016042780752</v>
      </c>
      <c r="AA113" s="37">
        <f t="shared" si="72"/>
        <v>0.22165254676223342</v>
      </c>
      <c r="AB113" s="37">
        <v>0</v>
      </c>
      <c r="AC113" s="37">
        <f t="shared" si="79"/>
        <v>5.4042836634802485E-2</v>
      </c>
      <c r="AD113" s="40">
        <f t="shared" si="62"/>
        <v>5.4042836634802485E-2</v>
      </c>
      <c r="AE113" s="39">
        <f t="shared" si="70"/>
        <v>0.18157407407407408</v>
      </c>
      <c r="AF113" s="37">
        <f t="shared" si="63"/>
        <v>0.20098670519817474</v>
      </c>
      <c r="AG113" s="37">
        <f t="shared" si="80"/>
        <v>1.1310783586597041E-2</v>
      </c>
      <c r="AH113" s="37">
        <f t="shared" si="81"/>
        <v>0.35488650283889733</v>
      </c>
      <c r="AI113" s="40">
        <f t="shared" si="64"/>
        <v>0.36619728642549437</v>
      </c>
      <c r="AJ113" s="39">
        <f t="shared" si="65"/>
        <v>3.9259259259259272E-2</v>
      </c>
      <c r="AK113" s="37">
        <f t="shared" si="82"/>
        <v>9.3456919592751708E-2</v>
      </c>
      <c r="AL113" s="37">
        <f t="shared" si="83"/>
        <v>2.8266666666666669E-2</v>
      </c>
      <c r="AM113" s="37">
        <f t="shared" si="84"/>
        <v>0.59752000000000005</v>
      </c>
      <c r="AN113" s="40">
        <f t="shared" si="66"/>
        <v>0.62578666666666671</v>
      </c>
      <c r="AO113" s="39">
        <f t="shared" si="85"/>
        <v>4.8474786799701597E-3</v>
      </c>
      <c r="AP113" s="37">
        <f t="shared" si="86"/>
        <v>4.5441000000000002E-2</v>
      </c>
      <c r="AQ113" s="40">
        <f t="shared" si="87"/>
        <v>1.0800000000000001E-2</v>
      </c>
      <c r="AR113" s="39">
        <f t="shared" si="67"/>
        <v>1.1071152684069336</v>
      </c>
      <c r="AS113" s="37">
        <f t="shared" si="68"/>
        <v>4.7700000000000005</v>
      </c>
      <c r="AT113" s="40">
        <f t="shared" si="69"/>
        <v>81.162267237494035</v>
      </c>
    </row>
    <row r="114" spans="17:46" x14ac:dyDescent="0.25">
      <c r="Q114">
        <v>107</v>
      </c>
      <c r="R114" s="39">
        <f t="shared" si="45"/>
        <v>135</v>
      </c>
      <c r="S114" s="37">
        <f t="shared" si="73"/>
        <v>3.5666666666666673E-2</v>
      </c>
      <c r="T114" s="37">
        <f t="shared" si="47"/>
        <v>24</v>
      </c>
      <c r="U114" s="40">
        <f t="shared" si="74"/>
        <v>0.22291666666666671</v>
      </c>
      <c r="V114" s="39">
        <f t="shared" si="75"/>
        <v>2</v>
      </c>
      <c r="W114" s="37">
        <f t="shared" si="76"/>
        <v>0.82222222222222219</v>
      </c>
      <c r="X114" s="40">
        <f t="shared" si="77"/>
        <v>0.17777777777777781</v>
      </c>
      <c r="Y114" s="39">
        <f t="shared" si="78"/>
        <v>6.5953654188948316E-2</v>
      </c>
      <c r="Z114" s="37">
        <f t="shared" si="71"/>
        <v>0.25589349376114084</v>
      </c>
      <c r="AA114" s="37">
        <f t="shared" si="72"/>
        <v>0.2237282517985843</v>
      </c>
      <c r="AB114" s="37">
        <v>0</v>
      </c>
      <c r="AC114" s="37">
        <f t="shared" si="79"/>
        <v>5.5059763718135819E-2</v>
      </c>
      <c r="AD114" s="40">
        <f t="shared" si="62"/>
        <v>5.5059763718135819E-2</v>
      </c>
      <c r="AE114" s="39">
        <f t="shared" si="70"/>
        <v>0.18328703703703705</v>
      </c>
      <c r="AF114" s="37">
        <f t="shared" si="63"/>
        <v>0.20286888125395877</v>
      </c>
      <c r="AG114" s="37">
        <f t="shared" si="80"/>
        <v>1.1523619234745193E-2</v>
      </c>
      <c r="AH114" s="37">
        <f t="shared" si="81"/>
        <v>0.35823448871473601</v>
      </c>
      <c r="AI114" s="40">
        <f t="shared" si="64"/>
        <v>0.36975810794948122</v>
      </c>
      <c r="AJ114" s="39">
        <f t="shared" si="65"/>
        <v>3.9629629629629647E-2</v>
      </c>
      <c r="AK114" s="37">
        <f t="shared" si="82"/>
        <v>9.43321136814919E-2</v>
      </c>
      <c r="AL114" s="37">
        <f t="shared" si="83"/>
        <v>2.8533333333333341E-2</v>
      </c>
      <c r="AM114" s="37">
        <f t="shared" si="84"/>
        <v>0.59752000000000005</v>
      </c>
      <c r="AN114" s="40">
        <f t="shared" si="66"/>
        <v>0.62605333333333335</v>
      </c>
      <c r="AO114" s="39">
        <f t="shared" si="85"/>
        <v>4.9386939577479392E-3</v>
      </c>
      <c r="AP114" s="37">
        <f t="shared" si="86"/>
        <v>4.5441000000000002E-2</v>
      </c>
      <c r="AQ114" s="40">
        <f t="shared" si="87"/>
        <v>1.0800000000000001E-2</v>
      </c>
      <c r="AR114" s="39">
        <f t="shared" si="67"/>
        <v>1.1120508989586984</v>
      </c>
      <c r="AS114" s="37">
        <f t="shared" si="68"/>
        <v>4.8150000000000013</v>
      </c>
      <c r="AT114" s="40">
        <f t="shared" si="69"/>
        <v>81.237702899530177</v>
      </c>
    </row>
    <row r="115" spans="17:46" x14ac:dyDescent="0.25">
      <c r="Q115">
        <v>108</v>
      </c>
      <c r="R115" s="39">
        <f t="shared" si="45"/>
        <v>135</v>
      </c>
      <c r="S115" s="37">
        <f t="shared" si="73"/>
        <v>3.6000000000000004E-2</v>
      </c>
      <c r="T115" s="37">
        <f t="shared" si="47"/>
        <v>24</v>
      </c>
      <c r="U115" s="40">
        <f t="shared" si="74"/>
        <v>0.22500000000000001</v>
      </c>
      <c r="V115" s="39">
        <f t="shared" si="75"/>
        <v>2</v>
      </c>
      <c r="W115" s="37">
        <f t="shared" si="76"/>
        <v>0.82222222222222219</v>
      </c>
      <c r="X115" s="40">
        <f t="shared" si="77"/>
        <v>0.17777777777777781</v>
      </c>
      <c r="Y115" s="39">
        <f t="shared" si="78"/>
        <v>6.5953654188948316E-2</v>
      </c>
      <c r="Z115" s="37">
        <f t="shared" si="71"/>
        <v>0.25797682709447417</v>
      </c>
      <c r="AA115" s="37">
        <f t="shared" si="72"/>
        <v>0.22580409733898307</v>
      </c>
      <c r="AB115" s="37">
        <v>0</v>
      </c>
      <c r="AC115" s="37">
        <f t="shared" si="79"/>
        <v>5.6086239412580237E-2</v>
      </c>
      <c r="AD115" s="40">
        <f t="shared" si="62"/>
        <v>5.6086239412580237E-2</v>
      </c>
      <c r="AE115" s="39">
        <f t="shared" si="70"/>
        <v>0.185</v>
      </c>
      <c r="AF115" s="37">
        <f t="shared" si="63"/>
        <v>0.20475118471385373</v>
      </c>
      <c r="AG115" s="37">
        <f t="shared" si="80"/>
        <v>1.1738453339683463E-2</v>
      </c>
      <c r="AH115" s="37">
        <f t="shared" si="81"/>
        <v>0.36158247459057458</v>
      </c>
      <c r="AI115" s="40">
        <f t="shared" si="64"/>
        <v>0.37332092793025806</v>
      </c>
      <c r="AJ115" s="39">
        <f t="shared" si="65"/>
        <v>4.0000000000000008E-2</v>
      </c>
      <c r="AK115" s="37">
        <f t="shared" si="82"/>
        <v>9.5207367011940339E-2</v>
      </c>
      <c r="AL115" s="37">
        <f t="shared" si="83"/>
        <v>2.8800000000000006E-2</v>
      </c>
      <c r="AM115" s="37">
        <f t="shared" si="84"/>
        <v>0.59752000000000005</v>
      </c>
      <c r="AN115" s="40">
        <f t="shared" si="66"/>
        <v>0.6263200000000001</v>
      </c>
      <c r="AO115" s="39">
        <f t="shared" si="85"/>
        <v>5.0307657170071979E-3</v>
      </c>
      <c r="AP115" s="37">
        <f t="shared" si="86"/>
        <v>4.5441000000000002E-2</v>
      </c>
      <c r="AQ115" s="40">
        <f t="shared" si="87"/>
        <v>1.0800000000000001E-2</v>
      </c>
      <c r="AR115" s="39">
        <f t="shared" si="67"/>
        <v>1.1169989330598458</v>
      </c>
      <c r="AS115" s="37">
        <f t="shared" si="68"/>
        <v>4.8600000000000003</v>
      </c>
      <c r="AT115" s="40">
        <f t="shared" si="69"/>
        <v>81.311709344943566</v>
      </c>
    </row>
    <row r="116" spans="17:46" x14ac:dyDescent="0.25">
      <c r="Q116">
        <v>109</v>
      </c>
      <c r="R116" s="39">
        <f t="shared" si="45"/>
        <v>135</v>
      </c>
      <c r="S116" s="37">
        <f t="shared" si="73"/>
        <v>3.6333333333333336E-2</v>
      </c>
      <c r="T116" s="37">
        <f t="shared" si="47"/>
        <v>24</v>
      </c>
      <c r="U116" s="40">
        <f t="shared" si="74"/>
        <v>0.22708333333333333</v>
      </c>
      <c r="V116" s="39">
        <f t="shared" si="75"/>
        <v>2</v>
      </c>
      <c r="W116" s="37">
        <f t="shared" si="76"/>
        <v>0.82222222222222219</v>
      </c>
      <c r="X116" s="40">
        <f t="shared" si="77"/>
        <v>0.17777777777777781</v>
      </c>
      <c r="Y116" s="39">
        <f t="shared" si="78"/>
        <v>6.5953654188948316E-2</v>
      </c>
      <c r="Z116" s="37">
        <f t="shared" si="71"/>
        <v>0.2600601604278075</v>
      </c>
      <c r="AA116" s="37">
        <f t="shared" si="72"/>
        <v>0.22788007954371686</v>
      </c>
      <c r="AB116" s="37">
        <v>0</v>
      </c>
      <c r="AC116" s="37">
        <f t="shared" si="79"/>
        <v>5.7122263718135807E-2</v>
      </c>
      <c r="AD116" s="40">
        <f t="shared" si="62"/>
        <v>5.7122263718135807E-2</v>
      </c>
      <c r="AE116" s="39">
        <f t="shared" si="70"/>
        <v>0.18671296296296294</v>
      </c>
      <c r="AF116" s="37">
        <f t="shared" si="63"/>
        <v>0.20663361209614345</v>
      </c>
      <c r="AG116" s="37">
        <f t="shared" si="80"/>
        <v>1.1955285901411856E-2</v>
      </c>
      <c r="AH116" s="37">
        <f t="shared" si="81"/>
        <v>0.3649304604664132</v>
      </c>
      <c r="AI116" s="40">
        <f t="shared" si="64"/>
        <v>0.37688574636782507</v>
      </c>
      <c r="AJ116" s="39">
        <f t="shared" si="65"/>
        <v>4.0370370370370376E-2</v>
      </c>
      <c r="AK116" s="37">
        <f t="shared" si="82"/>
        <v>9.6082677965131896E-2</v>
      </c>
      <c r="AL116" s="37">
        <f t="shared" si="83"/>
        <v>2.9066666666666671E-2</v>
      </c>
      <c r="AM116" s="37">
        <f t="shared" si="84"/>
        <v>0.59752000000000005</v>
      </c>
      <c r="AN116" s="40">
        <f t="shared" si="66"/>
        <v>0.62658666666666674</v>
      </c>
      <c r="AO116" s="39">
        <f t="shared" si="85"/>
        <v>5.1236939577479377E-3</v>
      </c>
      <c r="AP116" s="37">
        <f t="shared" si="86"/>
        <v>4.5441000000000002E-2</v>
      </c>
      <c r="AQ116" s="40">
        <f t="shared" si="87"/>
        <v>1.0800000000000001E-2</v>
      </c>
      <c r="AR116" s="39">
        <f t="shared" si="67"/>
        <v>1.1219593707103757</v>
      </c>
      <c r="AS116" s="37">
        <f t="shared" si="68"/>
        <v>4.9050000000000002</v>
      </c>
      <c r="AT116" s="40">
        <f t="shared" si="69"/>
        <v>81.384321650435581</v>
      </c>
    </row>
    <row r="117" spans="17:46" x14ac:dyDescent="0.25">
      <c r="Q117">
        <v>110</v>
      </c>
      <c r="R117" s="39">
        <f t="shared" si="45"/>
        <v>135</v>
      </c>
      <c r="S117" s="37">
        <f t="shared" si="73"/>
        <v>3.6666666666666674E-2</v>
      </c>
      <c r="T117" s="37">
        <f t="shared" si="47"/>
        <v>24</v>
      </c>
      <c r="U117" s="40">
        <f t="shared" si="74"/>
        <v>0.22916666666666671</v>
      </c>
      <c r="V117" s="39">
        <f t="shared" si="75"/>
        <v>2</v>
      </c>
      <c r="W117" s="37">
        <f t="shared" si="76"/>
        <v>0.82222222222222219</v>
      </c>
      <c r="X117" s="40">
        <f t="shared" si="77"/>
        <v>0.17777777777777781</v>
      </c>
      <c r="Y117" s="39">
        <f t="shared" si="78"/>
        <v>6.5953654188948316E-2</v>
      </c>
      <c r="Z117" s="37">
        <f t="shared" si="71"/>
        <v>0.26214349376114088</v>
      </c>
      <c r="AA117" s="37">
        <f t="shared" si="72"/>
        <v>0.22995619471147993</v>
      </c>
      <c r="AB117" s="37">
        <v>0</v>
      </c>
      <c r="AC117" s="37">
        <f t="shared" si="79"/>
        <v>5.8167836634802482E-2</v>
      </c>
      <c r="AD117" s="40">
        <f t="shared" si="62"/>
        <v>5.8167836634802482E-2</v>
      </c>
      <c r="AE117" s="39">
        <f t="shared" si="70"/>
        <v>0.18842592592592597</v>
      </c>
      <c r="AF117" s="37">
        <f t="shared" si="63"/>
        <v>0.20851616004461465</v>
      </c>
      <c r="AG117" s="37">
        <f t="shared" si="80"/>
        <v>1.2174116919930381E-2</v>
      </c>
      <c r="AH117" s="37">
        <f t="shared" si="81"/>
        <v>0.36827844634225199</v>
      </c>
      <c r="AI117" s="40">
        <f t="shared" si="64"/>
        <v>0.38045256326218235</v>
      </c>
      <c r="AJ117" s="39">
        <f t="shared" si="65"/>
        <v>4.0740740740740758E-2</v>
      </c>
      <c r="AK117" s="37">
        <f t="shared" si="82"/>
        <v>9.6958044980459096E-2</v>
      </c>
      <c r="AL117" s="37">
        <f t="shared" si="83"/>
        <v>2.933333333333334E-2</v>
      </c>
      <c r="AM117" s="37">
        <f t="shared" si="84"/>
        <v>0.59752000000000005</v>
      </c>
      <c r="AN117" s="40">
        <f t="shared" si="66"/>
        <v>0.62685333333333337</v>
      </c>
      <c r="AO117" s="39">
        <f t="shared" si="85"/>
        <v>5.217478679970162E-3</v>
      </c>
      <c r="AP117" s="37">
        <f t="shared" si="86"/>
        <v>4.5441000000000002E-2</v>
      </c>
      <c r="AQ117" s="40">
        <f t="shared" si="87"/>
        <v>1.0800000000000001E-2</v>
      </c>
      <c r="AR117" s="39">
        <f t="shared" si="67"/>
        <v>1.1269322119102883</v>
      </c>
      <c r="AS117" s="37">
        <f t="shared" si="68"/>
        <v>4.9500000000000011</v>
      </c>
      <c r="AT117" s="40">
        <f t="shared" si="69"/>
        <v>81.455573756416214</v>
      </c>
    </row>
    <row r="118" spans="17:46" x14ac:dyDescent="0.25">
      <c r="Q118">
        <v>111</v>
      </c>
      <c r="R118" s="39">
        <f t="shared" si="45"/>
        <v>135</v>
      </c>
      <c r="S118" s="37">
        <f t="shared" si="73"/>
        <v>3.7000000000000005E-2</v>
      </c>
      <c r="T118" s="37">
        <f t="shared" si="47"/>
        <v>24</v>
      </c>
      <c r="U118" s="40">
        <f t="shared" si="74"/>
        <v>0.23125000000000004</v>
      </c>
      <c r="V118" s="39">
        <f t="shared" si="75"/>
        <v>2</v>
      </c>
      <c r="W118" s="37">
        <f t="shared" si="76"/>
        <v>0.82222222222222219</v>
      </c>
      <c r="X118" s="40">
        <f t="shared" si="77"/>
        <v>0.17777777777777781</v>
      </c>
      <c r="Y118" s="39">
        <f t="shared" si="78"/>
        <v>6.5953654188948316E-2</v>
      </c>
      <c r="Z118" s="37">
        <f t="shared" si="71"/>
        <v>0.2642268270944742</v>
      </c>
      <c r="AA118" s="37">
        <f t="shared" si="72"/>
        <v>0.23203243927320369</v>
      </c>
      <c r="AB118" s="37">
        <v>0</v>
      </c>
      <c r="AC118" s="37">
        <f t="shared" si="79"/>
        <v>5.9222958162580254E-2</v>
      </c>
      <c r="AD118" s="40">
        <f t="shared" si="62"/>
        <v>5.9222958162580254E-2</v>
      </c>
      <c r="AE118" s="39">
        <f t="shared" si="70"/>
        <v>0.19013888888888891</v>
      </c>
      <c r="AF118" s="37">
        <f t="shared" si="63"/>
        <v>0.21039882532296186</v>
      </c>
      <c r="AG118" s="37">
        <f t="shared" si="80"/>
        <v>1.2394946395239021E-2</v>
      </c>
      <c r="AH118" s="37">
        <f t="shared" si="81"/>
        <v>0.37162643221809055</v>
      </c>
      <c r="AI118" s="40">
        <f t="shared" si="64"/>
        <v>0.38402137861332958</v>
      </c>
      <c r="AJ118" s="39">
        <f t="shared" si="65"/>
        <v>4.1111111111111126E-2</v>
      </c>
      <c r="AK118" s="37">
        <f t="shared" si="82"/>
        <v>9.7833466553070431E-2</v>
      </c>
      <c r="AL118" s="37">
        <f t="shared" si="83"/>
        <v>2.9600000000000005E-2</v>
      </c>
      <c r="AM118" s="37">
        <f t="shared" si="84"/>
        <v>0.59752000000000005</v>
      </c>
      <c r="AN118" s="40">
        <f t="shared" si="66"/>
        <v>0.62712000000000001</v>
      </c>
      <c r="AO118" s="39">
        <f t="shared" si="85"/>
        <v>5.3121198836738655E-3</v>
      </c>
      <c r="AP118" s="37">
        <f t="shared" si="86"/>
        <v>4.5441000000000002E-2</v>
      </c>
      <c r="AQ118" s="40">
        <f t="shared" si="87"/>
        <v>1.0800000000000001E-2</v>
      </c>
      <c r="AR118" s="39">
        <f t="shared" si="67"/>
        <v>1.1319174566595838</v>
      </c>
      <c r="AS118" s="37">
        <f t="shared" si="68"/>
        <v>4.995000000000001</v>
      </c>
      <c r="AT118" s="40">
        <f t="shared" si="69"/>
        <v>81.525498512645072</v>
      </c>
    </row>
    <row r="119" spans="17:46" x14ac:dyDescent="0.25">
      <c r="Q119">
        <v>112</v>
      </c>
      <c r="R119" s="39">
        <f t="shared" si="45"/>
        <v>135</v>
      </c>
      <c r="S119" s="37">
        <f t="shared" si="73"/>
        <v>3.7333333333333336E-2</v>
      </c>
      <c r="T119" s="37">
        <f t="shared" si="47"/>
        <v>24</v>
      </c>
      <c r="U119" s="40">
        <f t="shared" si="74"/>
        <v>0.23333333333333331</v>
      </c>
      <c r="V119" s="39">
        <f t="shared" si="75"/>
        <v>2</v>
      </c>
      <c r="W119" s="37">
        <f t="shared" si="76"/>
        <v>0.82222222222222219</v>
      </c>
      <c r="X119" s="40">
        <f t="shared" si="77"/>
        <v>0.17777777777777781</v>
      </c>
      <c r="Y119" s="39">
        <f t="shared" si="78"/>
        <v>6.5953654188948316E-2</v>
      </c>
      <c r="Z119" s="37">
        <f t="shared" si="71"/>
        <v>0.26631016042780747</v>
      </c>
      <c r="AA119" s="37">
        <f t="shared" si="72"/>
        <v>0.23410880978621326</v>
      </c>
      <c r="AB119" s="37">
        <v>0</v>
      </c>
      <c r="AC119" s="37">
        <f t="shared" si="79"/>
        <v>6.0287628301469123E-2</v>
      </c>
      <c r="AD119" s="40">
        <f t="shared" si="62"/>
        <v>6.0287628301469123E-2</v>
      </c>
      <c r="AE119" s="39">
        <f t="shared" si="70"/>
        <v>0.19185185185185183</v>
      </c>
      <c r="AF119" s="37">
        <f t="shared" si="63"/>
        <v>0.21228160480948902</v>
      </c>
      <c r="AG119" s="37">
        <f t="shared" si="80"/>
        <v>1.261777432733778E-2</v>
      </c>
      <c r="AH119" s="37">
        <f t="shared" si="81"/>
        <v>0.37497441809392912</v>
      </c>
      <c r="AI119" s="40">
        <f t="shared" si="64"/>
        <v>0.38759219242126691</v>
      </c>
      <c r="AJ119" s="39">
        <f t="shared" si="65"/>
        <v>4.1481481481481487E-2</v>
      </c>
      <c r="AK119" s="37">
        <f t="shared" si="82"/>
        <v>9.8708941231406777E-2</v>
      </c>
      <c r="AL119" s="37">
        <f t="shared" si="83"/>
        <v>2.986666666666667E-2</v>
      </c>
      <c r="AM119" s="37">
        <f t="shared" si="84"/>
        <v>0.59752000000000005</v>
      </c>
      <c r="AN119" s="40">
        <f t="shared" si="66"/>
        <v>0.62738666666666676</v>
      </c>
      <c r="AO119" s="39">
        <f t="shared" si="85"/>
        <v>5.4076175688590475E-3</v>
      </c>
      <c r="AP119" s="37">
        <f t="shared" si="86"/>
        <v>4.5441000000000002E-2</v>
      </c>
      <c r="AQ119" s="40">
        <f t="shared" si="87"/>
        <v>1.0800000000000001E-2</v>
      </c>
      <c r="AR119" s="39">
        <f t="shared" si="67"/>
        <v>1.1369151049582618</v>
      </c>
      <c r="AS119" s="37">
        <f t="shared" si="68"/>
        <v>5.04</v>
      </c>
      <c r="AT119" s="40">
        <f t="shared" si="69"/>
        <v>81.594127721689901</v>
      </c>
    </row>
    <row r="120" spans="17:46" x14ac:dyDescent="0.25">
      <c r="Q120">
        <v>113</v>
      </c>
      <c r="R120" s="39">
        <f t="shared" si="45"/>
        <v>135</v>
      </c>
      <c r="S120" s="37">
        <f t="shared" si="73"/>
        <v>3.7666666666666675E-2</v>
      </c>
      <c r="T120" s="37">
        <f t="shared" si="47"/>
        <v>24</v>
      </c>
      <c r="U120" s="40">
        <f t="shared" si="74"/>
        <v>0.23541666666666669</v>
      </c>
      <c r="V120" s="39">
        <f t="shared" si="75"/>
        <v>2</v>
      </c>
      <c r="W120" s="37">
        <f t="shared" si="76"/>
        <v>0.82222222222222219</v>
      </c>
      <c r="X120" s="40">
        <f t="shared" si="77"/>
        <v>0.17777777777777781</v>
      </c>
      <c r="Y120" s="39">
        <f t="shared" si="78"/>
        <v>6.5953654188948316E-2</v>
      </c>
      <c r="Z120" s="37">
        <f t="shared" si="71"/>
        <v>0.26839349376114086</v>
      </c>
      <c r="AA120" s="37">
        <f t="shared" si="72"/>
        <v>0.23618530292869072</v>
      </c>
      <c r="AB120" s="37">
        <v>0</v>
      </c>
      <c r="AC120" s="37">
        <f t="shared" si="79"/>
        <v>6.1361847051469146E-2</v>
      </c>
      <c r="AD120" s="40">
        <f t="shared" si="62"/>
        <v>6.1361847051469146E-2</v>
      </c>
      <c r="AE120" s="39">
        <f t="shared" si="70"/>
        <v>0.19356481481481483</v>
      </c>
      <c r="AF120" s="37">
        <f t="shared" si="63"/>
        <v>0.21416449549208891</v>
      </c>
      <c r="AG120" s="37">
        <f t="shared" si="80"/>
        <v>1.2842600716226673E-2</v>
      </c>
      <c r="AH120" s="37">
        <f t="shared" si="81"/>
        <v>0.37832240396976791</v>
      </c>
      <c r="AI120" s="40">
        <f t="shared" si="64"/>
        <v>0.39116500468599458</v>
      </c>
      <c r="AJ120" s="39">
        <f t="shared" si="65"/>
        <v>4.1851851851851862E-2</v>
      </c>
      <c r="AK120" s="37">
        <f t="shared" si="82"/>
        <v>9.9584467614866667E-2</v>
      </c>
      <c r="AL120" s="37">
        <f t="shared" si="83"/>
        <v>3.0133333333333342E-2</v>
      </c>
      <c r="AM120" s="37">
        <f t="shared" si="84"/>
        <v>0.59752000000000005</v>
      </c>
      <c r="AN120" s="40">
        <f t="shared" si="66"/>
        <v>0.6276533333333334</v>
      </c>
      <c r="AO120" s="39">
        <f t="shared" si="85"/>
        <v>5.5039717355257166E-3</v>
      </c>
      <c r="AP120" s="37">
        <f t="shared" si="86"/>
        <v>4.5441000000000002E-2</v>
      </c>
      <c r="AQ120" s="40">
        <f t="shared" si="87"/>
        <v>1.0800000000000001E-2</v>
      </c>
      <c r="AR120" s="39">
        <f t="shared" si="67"/>
        <v>1.1419251568063229</v>
      </c>
      <c r="AS120" s="37">
        <f t="shared" si="68"/>
        <v>5.0850000000000009</v>
      </c>
      <c r="AT120" s="40">
        <f t="shared" si="69"/>
        <v>81.66149218032362</v>
      </c>
    </row>
    <row r="121" spans="17:46" x14ac:dyDescent="0.25">
      <c r="Q121">
        <v>114</v>
      </c>
      <c r="R121" s="39">
        <f t="shared" si="45"/>
        <v>135</v>
      </c>
      <c r="S121" s="37">
        <f t="shared" si="73"/>
        <v>3.8000000000000006E-2</v>
      </c>
      <c r="T121" s="37">
        <f t="shared" si="47"/>
        <v>24</v>
      </c>
      <c r="U121" s="40">
        <f t="shared" si="74"/>
        <v>0.23750000000000002</v>
      </c>
      <c r="V121" s="39">
        <f t="shared" si="75"/>
        <v>2</v>
      </c>
      <c r="W121" s="37">
        <f t="shared" si="76"/>
        <v>0.82222222222222219</v>
      </c>
      <c r="X121" s="40">
        <f t="shared" si="77"/>
        <v>0.17777777777777781</v>
      </c>
      <c r="Y121" s="39">
        <f t="shared" si="78"/>
        <v>6.5953654188948316E-2</v>
      </c>
      <c r="Z121" s="37">
        <f t="shared" si="71"/>
        <v>0.27047682709447418</v>
      </c>
      <c r="AA121" s="37">
        <f t="shared" si="72"/>
        <v>0.23826191549442591</v>
      </c>
      <c r="AB121" s="37">
        <v>0</v>
      </c>
      <c r="AC121" s="37">
        <f t="shared" si="79"/>
        <v>6.2445614412580251E-2</v>
      </c>
      <c r="AD121" s="40">
        <f t="shared" si="62"/>
        <v>6.2445614412580251E-2</v>
      </c>
      <c r="AE121" s="39">
        <f t="shared" si="70"/>
        <v>0.19527777777777777</v>
      </c>
      <c r="AF121" s="37">
        <f t="shared" si="63"/>
        <v>0.21604749446348334</v>
      </c>
      <c r="AG121" s="37">
        <f t="shared" si="80"/>
        <v>1.3069425561905683E-2</v>
      </c>
      <c r="AH121" s="37">
        <f t="shared" si="81"/>
        <v>0.38167038984560647</v>
      </c>
      <c r="AI121" s="40">
        <f t="shared" si="64"/>
        <v>0.39473981540751213</v>
      </c>
      <c r="AJ121" s="39">
        <f t="shared" si="65"/>
        <v>4.222222222222223E-2</v>
      </c>
      <c r="AK121" s="37">
        <f t="shared" si="82"/>
        <v>0.10046004435159325</v>
      </c>
      <c r="AL121" s="37">
        <f t="shared" si="83"/>
        <v>3.0400000000000007E-2</v>
      </c>
      <c r="AM121" s="37">
        <f t="shared" si="84"/>
        <v>0.59752000000000005</v>
      </c>
      <c r="AN121" s="40">
        <f t="shared" si="66"/>
        <v>0.62792000000000003</v>
      </c>
      <c r="AO121" s="39">
        <f t="shared" si="85"/>
        <v>5.6011823836738632E-3</v>
      </c>
      <c r="AP121" s="37">
        <f t="shared" si="86"/>
        <v>4.5441000000000002E-2</v>
      </c>
      <c r="AQ121" s="40">
        <f t="shared" si="87"/>
        <v>1.0800000000000001E-2</v>
      </c>
      <c r="AR121" s="39">
        <f t="shared" si="67"/>
        <v>1.1469476122037663</v>
      </c>
      <c r="AS121" s="37">
        <f t="shared" si="68"/>
        <v>5.1300000000000008</v>
      </c>
      <c r="AT121" s="40">
        <f t="shared" si="69"/>
        <v>81.727621718972969</v>
      </c>
    </row>
    <row r="122" spans="17:46" x14ac:dyDescent="0.25">
      <c r="Q122">
        <v>115</v>
      </c>
      <c r="R122" s="39">
        <f t="shared" si="45"/>
        <v>135</v>
      </c>
      <c r="S122" s="37">
        <f t="shared" si="73"/>
        <v>3.8333333333333337E-2</v>
      </c>
      <c r="T122" s="37">
        <f t="shared" si="47"/>
        <v>24</v>
      </c>
      <c r="U122" s="40">
        <f t="shared" si="74"/>
        <v>0.23958333333333334</v>
      </c>
      <c r="V122" s="39">
        <f t="shared" si="75"/>
        <v>2</v>
      </c>
      <c r="W122" s="37">
        <f t="shared" si="76"/>
        <v>0.82222222222222219</v>
      </c>
      <c r="X122" s="40">
        <f t="shared" si="77"/>
        <v>0.17777777777777781</v>
      </c>
      <c r="Y122" s="39">
        <f t="shared" si="78"/>
        <v>6.5953654188948316E-2</v>
      </c>
      <c r="Z122" s="37">
        <f t="shared" si="71"/>
        <v>0.27256016042780751</v>
      </c>
      <c r="AA122" s="37">
        <f t="shared" si="72"/>
        <v>0.24033864438783886</v>
      </c>
      <c r="AB122" s="37">
        <v>0</v>
      </c>
      <c r="AC122" s="37">
        <f t="shared" si="79"/>
        <v>6.3538930384802489E-2</v>
      </c>
      <c r="AD122" s="40">
        <f t="shared" si="62"/>
        <v>6.3538930384802489E-2</v>
      </c>
      <c r="AE122" s="39">
        <f t="shared" si="70"/>
        <v>0.19699074074074074</v>
      </c>
      <c r="AF122" s="37">
        <f t="shared" si="63"/>
        <v>0.21793059891670968</v>
      </c>
      <c r="AG122" s="37">
        <f t="shared" si="80"/>
        <v>1.329824886437482E-2</v>
      </c>
      <c r="AH122" s="37">
        <f t="shared" si="81"/>
        <v>0.38501837572144515</v>
      </c>
      <c r="AI122" s="40">
        <f t="shared" si="64"/>
        <v>0.39831662458581996</v>
      </c>
      <c r="AJ122" s="39">
        <f t="shared" si="65"/>
        <v>4.2592592592592605E-2</v>
      </c>
      <c r="AK122" s="37">
        <f t="shared" si="82"/>
        <v>0.10133567013637539</v>
      </c>
      <c r="AL122" s="37">
        <f t="shared" si="83"/>
        <v>3.0666666666666672E-2</v>
      </c>
      <c r="AM122" s="37">
        <f t="shared" si="84"/>
        <v>0.59752000000000005</v>
      </c>
      <c r="AN122" s="40">
        <f t="shared" si="66"/>
        <v>0.62818666666666667</v>
      </c>
      <c r="AO122" s="39">
        <f t="shared" si="85"/>
        <v>5.6992495133034934E-3</v>
      </c>
      <c r="AP122" s="37">
        <f t="shared" si="86"/>
        <v>4.5441000000000002E-2</v>
      </c>
      <c r="AQ122" s="40">
        <f t="shared" si="87"/>
        <v>1.0800000000000001E-2</v>
      </c>
      <c r="AR122" s="39">
        <f t="shared" si="67"/>
        <v>1.1519824711505926</v>
      </c>
      <c r="AS122" s="37">
        <f t="shared" si="68"/>
        <v>5.1750000000000007</v>
      </c>
      <c r="AT122" s="40">
        <f t="shared" si="69"/>
        <v>81.792545239324824</v>
      </c>
    </row>
    <row r="123" spans="17:46" x14ac:dyDescent="0.25">
      <c r="Q123">
        <v>116</v>
      </c>
      <c r="R123" s="39">
        <f t="shared" si="45"/>
        <v>135</v>
      </c>
      <c r="S123" s="37">
        <f t="shared" si="73"/>
        <v>3.8666666666666669E-2</v>
      </c>
      <c r="T123" s="37">
        <f t="shared" si="47"/>
        <v>24</v>
      </c>
      <c r="U123" s="40">
        <f t="shared" si="74"/>
        <v>0.24166666666666667</v>
      </c>
      <c r="V123" s="39">
        <f t="shared" si="75"/>
        <v>2</v>
      </c>
      <c r="W123" s="37">
        <f t="shared" si="76"/>
        <v>0.82222222222222219</v>
      </c>
      <c r="X123" s="40">
        <f t="shared" si="77"/>
        <v>0.17777777777777781</v>
      </c>
      <c r="Y123" s="39">
        <f t="shared" si="78"/>
        <v>6.5953654188948316E-2</v>
      </c>
      <c r="Z123" s="37">
        <f t="shared" si="71"/>
        <v>0.27464349376114083</v>
      </c>
      <c r="AA123" s="37">
        <f t="shared" si="72"/>
        <v>0.24241548661925608</v>
      </c>
      <c r="AB123" s="37">
        <v>0</v>
      </c>
      <c r="AC123" s="37">
        <f t="shared" si="79"/>
        <v>6.4641794968135796E-2</v>
      </c>
      <c r="AD123" s="40">
        <f t="shared" si="62"/>
        <v>6.4641794968135796E-2</v>
      </c>
      <c r="AE123" s="39">
        <f t="shared" si="70"/>
        <v>0.19870370370370369</v>
      </c>
      <c r="AF123" s="37">
        <f t="shared" si="63"/>
        <v>0.21981380614083756</v>
      </c>
      <c r="AG123" s="37">
        <f t="shared" si="80"/>
        <v>1.3529070623634083E-2</v>
      </c>
      <c r="AH123" s="37">
        <f t="shared" si="81"/>
        <v>0.38836636159728377</v>
      </c>
      <c r="AI123" s="40">
        <f t="shared" si="64"/>
        <v>0.40189543222091784</v>
      </c>
      <c r="AJ123" s="39">
        <f t="shared" si="65"/>
        <v>4.2962962962962974E-2</v>
      </c>
      <c r="AK123" s="37">
        <f t="shared" si="82"/>
        <v>0.10221134370865605</v>
      </c>
      <c r="AL123" s="37">
        <f t="shared" si="83"/>
        <v>3.0933333333333337E-2</v>
      </c>
      <c r="AM123" s="37">
        <f t="shared" si="84"/>
        <v>0.59752000000000005</v>
      </c>
      <c r="AN123" s="40">
        <f t="shared" si="66"/>
        <v>0.62845333333333342</v>
      </c>
      <c r="AO123" s="39">
        <f t="shared" si="85"/>
        <v>5.7981731244146056E-3</v>
      </c>
      <c r="AP123" s="37">
        <f t="shared" si="86"/>
        <v>4.5441000000000002E-2</v>
      </c>
      <c r="AQ123" s="40">
        <f t="shared" si="87"/>
        <v>1.0800000000000001E-2</v>
      </c>
      <c r="AR123" s="39">
        <f t="shared" si="67"/>
        <v>1.1570297336468016</v>
      </c>
      <c r="AS123" s="37">
        <f t="shared" si="68"/>
        <v>5.2200000000000006</v>
      </c>
      <c r="AT123" s="40">
        <f t="shared" si="69"/>
        <v>81.856290750190112</v>
      </c>
    </row>
    <row r="124" spans="17:46" x14ac:dyDescent="0.25">
      <c r="Q124">
        <v>117</v>
      </c>
      <c r="R124" s="39">
        <f t="shared" si="45"/>
        <v>135</v>
      </c>
      <c r="S124" s="37">
        <f t="shared" si="73"/>
        <v>3.9000000000000007E-2</v>
      </c>
      <c r="T124" s="37">
        <f t="shared" si="47"/>
        <v>24</v>
      </c>
      <c r="U124" s="40">
        <f t="shared" si="74"/>
        <v>0.24375000000000002</v>
      </c>
      <c r="V124" s="39">
        <f t="shared" si="75"/>
        <v>2</v>
      </c>
      <c r="W124" s="37">
        <f t="shared" si="76"/>
        <v>0.82222222222222219</v>
      </c>
      <c r="X124" s="40">
        <f t="shared" si="77"/>
        <v>0.17777777777777781</v>
      </c>
      <c r="Y124" s="39">
        <f t="shared" si="78"/>
        <v>6.5953654188948316E-2</v>
      </c>
      <c r="Z124" s="37">
        <f t="shared" si="71"/>
        <v>0.27672682709447416</v>
      </c>
      <c r="AA124" s="37">
        <f t="shared" si="72"/>
        <v>0.24449243930042694</v>
      </c>
      <c r="AB124" s="37">
        <v>0</v>
      </c>
      <c r="AC124" s="37">
        <f t="shared" si="79"/>
        <v>6.5754208162580249E-2</v>
      </c>
      <c r="AD124" s="40">
        <f t="shared" si="62"/>
        <v>6.5754208162580249E-2</v>
      </c>
      <c r="AE124" s="39">
        <f t="shared" si="70"/>
        <v>0.20041666666666669</v>
      </c>
      <c r="AF124" s="37">
        <f t="shared" si="63"/>
        <v>0.22169711351690316</v>
      </c>
      <c r="AG124" s="37">
        <f t="shared" si="80"/>
        <v>1.3761890839683462E-2</v>
      </c>
      <c r="AH124" s="37">
        <f t="shared" si="81"/>
        <v>0.39171434747312245</v>
      </c>
      <c r="AI124" s="40">
        <f t="shared" si="64"/>
        <v>0.40547623831280594</v>
      </c>
      <c r="AJ124" s="39">
        <f t="shared" si="65"/>
        <v>4.3333333333333349E-2</v>
      </c>
      <c r="AK124" s="37">
        <f t="shared" si="82"/>
        <v>0.10308706385064183</v>
      </c>
      <c r="AL124" s="37">
        <f t="shared" si="83"/>
        <v>3.1200000000000006E-2</v>
      </c>
      <c r="AM124" s="37">
        <f t="shared" si="84"/>
        <v>0.59752000000000005</v>
      </c>
      <c r="AN124" s="40">
        <f t="shared" si="66"/>
        <v>0.62872000000000006</v>
      </c>
      <c r="AO124" s="39">
        <f t="shared" si="85"/>
        <v>5.8979532170071979E-3</v>
      </c>
      <c r="AP124" s="37">
        <f t="shared" si="86"/>
        <v>4.5441000000000002E-2</v>
      </c>
      <c r="AQ124" s="40">
        <f t="shared" si="87"/>
        <v>1.0800000000000001E-2</v>
      </c>
      <c r="AR124" s="39">
        <f t="shared" si="67"/>
        <v>1.1620893996923933</v>
      </c>
      <c r="AS124" s="37">
        <f t="shared" si="68"/>
        <v>5.2650000000000006</v>
      </c>
      <c r="AT124" s="40">
        <f t="shared" si="69"/>
        <v>81.91888540171837</v>
      </c>
    </row>
    <row r="125" spans="17:46" x14ac:dyDescent="0.25">
      <c r="Q125">
        <v>118</v>
      </c>
      <c r="R125" s="39">
        <f t="shared" si="45"/>
        <v>135</v>
      </c>
      <c r="S125" s="37">
        <f t="shared" si="73"/>
        <v>3.9333333333333338E-2</v>
      </c>
      <c r="T125" s="37">
        <f t="shared" si="47"/>
        <v>24</v>
      </c>
      <c r="U125" s="40">
        <f t="shared" si="74"/>
        <v>0.24583333333333335</v>
      </c>
      <c r="V125" s="39">
        <f t="shared" si="75"/>
        <v>2</v>
      </c>
      <c r="W125" s="37">
        <f t="shared" si="76"/>
        <v>0.82222222222222219</v>
      </c>
      <c r="X125" s="40">
        <f t="shared" si="77"/>
        <v>0.17777777777777781</v>
      </c>
      <c r="Y125" s="39">
        <f t="shared" si="78"/>
        <v>6.5953654188948316E-2</v>
      </c>
      <c r="Z125" s="37">
        <f t="shared" si="71"/>
        <v>0.27881016042780749</v>
      </c>
      <c r="AA125" s="37">
        <f t="shared" si="72"/>
        <v>0.24656949964026517</v>
      </c>
      <c r="AB125" s="37">
        <v>0</v>
      </c>
      <c r="AC125" s="37">
        <f t="shared" si="79"/>
        <v>6.6876169968135807E-2</v>
      </c>
      <c r="AD125" s="40">
        <f t="shared" si="62"/>
        <v>6.6876169968135807E-2</v>
      </c>
      <c r="AE125" s="39">
        <f t="shared" si="70"/>
        <v>0.20212962962962963</v>
      </c>
      <c r="AF125" s="37">
        <f t="shared" si="63"/>
        <v>0.22358051851404809</v>
      </c>
      <c r="AG125" s="37">
        <f t="shared" si="80"/>
        <v>1.3996709512522968E-2</v>
      </c>
      <c r="AH125" s="37">
        <f t="shared" si="81"/>
        <v>0.39506233334896113</v>
      </c>
      <c r="AI125" s="40">
        <f t="shared" si="64"/>
        <v>0.40905904286148409</v>
      </c>
      <c r="AJ125" s="39">
        <f t="shared" si="65"/>
        <v>4.3703703703703717E-2</v>
      </c>
      <c r="AK125" s="37">
        <f t="shared" si="82"/>
        <v>0.10396282938550745</v>
      </c>
      <c r="AL125" s="37">
        <f t="shared" si="83"/>
        <v>3.1466666666666671E-2</v>
      </c>
      <c r="AM125" s="37">
        <f t="shared" si="84"/>
        <v>0.59752000000000005</v>
      </c>
      <c r="AN125" s="40">
        <f t="shared" si="66"/>
        <v>0.62898666666666669</v>
      </c>
      <c r="AO125" s="39">
        <f t="shared" si="85"/>
        <v>5.9985897910812712E-3</v>
      </c>
      <c r="AP125" s="37">
        <f t="shared" si="86"/>
        <v>4.5441000000000002E-2</v>
      </c>
      <c r="AQ125" s="40">
        <f t="shared" si="87"/>
        <v>1.0800000000000001E-2</v>
      </c>
      <c r="AR125" s="39">
        <f t="shared" si="67"/>
        <v>1.1671614692873677</v>
      </c>
      <c r="AS125" s="37">
        <f t="shared" si="68"/>
        <v>5.3100000000000005</v>
      </c>
      <c r="AT125" s="40">
        <f t="shared" si="69"/>
        <v>81.980355518050999</v>
      </c>
    </row>
    <row r="126" spans="17:46" x14ac:dyDescent="0.25">
      <c r="Q126">
        <v>119</v>
      </c>
      <c r="R126" s="39">
        <f t="shared" si="45"/>
        <v>135</v>
      </c>
      <c r="S126" s="37">
        <f t="shared" si="73"/>
        <v>3.966666666666667E-2</v>
      </c>
      <c r="T126" s="37">
        <f t="shared" si="47"/>
        <v>24</v>
      </c>
      <c r="U126" s="40">
        <f t="shared" si="74"/>
        <v>0.24791666666666667</v>
      </c>
      <c r="V126" s="39">
        <f t="shared" si="75"/>
        <v>2</v>
      </c>
      <c r="W126" s="37">
        <f t="shared" si="76"/>
        <v>0.82222222222222219</v>
      </c>
      <c r="X126" s="40">
        <f t="shared" si="77"/>
        <v>0.17777777777777781</v>
      </c>
      <c r="Y126" s="39">
        <f t="shared" si="78"/>
        <v>6.5953654188948316E-2</v>
      </c>
      <c r="Z126" s="37">
        <f t="shared" si="71"/>
        <v>0.28089349376114081</v>
      </c>
      <c r="AA126" s="37">
        <f t="shared" si="72"/>
        <v>0.24864666494080323</v>
      </c>
      <c r="AB126" s="37">
        <v>0</v>
      </c>
      <c r="AC126" s="37">
        <f t="shared" si="79"/>
        <v>6.8007680384802482E-2</v>
      </c>
      <c r="AD126" s="40">
        <f t="shared" si="62"/>
        <v>6.8007680384802482E-2</v>
      </c>
      <c r="AE126" s="39">
        <f t="shared" si="70"/>
        <v>0.2038425925925926</v>
      </c>
      <c r="AF126" s="37">
        <f t="shared" si="63"/>
        <v>0.2254640186858505</v>
      </c>
      <c r="AG126" s="37">
        <f t="shared" si="80"/>
        <v>1.4233526642152593E-2</v>
      </c>
      <c r="AH126" s="37">
        <f t="shared" si="81"/>
        <v>0.39841031922479975</v>
      </c>
      <c r="AI126" s="40">
        <f t="shared" si="64"/>
        <v>0.41264384586695235</v>
      </c>
      <c r="AJ126" s="39">
        <f t="shared" si="65"/>
        <v>4.4074074074074085E-2</v>
      </c>
      <c r="AK126" s="37">
        <f t="shared" si="82"/>
        <v>0.10483863917568989</v>
      </c>
      <c r="AL126" s="37">
        <f t="shared" si="83"/>
        <v>3.1733333333333336E-2</v>
      </c>
      <c r="AM126" s="37">
        <f t="shared" si="84"/>
        <v>0.59752000000000005</v>
      </c>
      <c r="AN126" s="40">
        <f t="shared" si="66"/>
        <v>0.62925333333333344</v>
      </c>
      <c r="AO126" s="39">
        <f t="shared" si="85"/>
        <v>6.1000828466368246E-3</v>
      </c>
      <c r="AP126" s="37">
        <f t="shared" si="86"/>
        <v>4.5441000000000002E-2</v>
      </c>
      <c r="AQ126" s="40">
        <f t="shared" si="87"/>
        <v>1.0800000000000001E-2</v>
      </c>
      <c r="AR126" s="39">
        <f t="shared" si="67"/>
        <v>1.1722459424317251</v>
      </c>
      <c r="AS126" s="37">
        <f t="shared" si="68"/>
        <v>5.3550000000000004</v>
      </c>
      <c r="AT126" s="40">
        <f t="shared" si="69"/>
        <v>82.040726628495861</v>
      </c>
    </row>
    <row r="127" spans="17:46" x14ac:dyDescent="0.25">
      <c r="Q127">
        <v>120</v>
      </c>
      <c r="R127" s="39">
        <f t="shared" si="45"/>
        <v>135</v>
      </c>
      <c r="S127" s="37">
        <f t="shared" si="73"/>
        <v>4.0000000000000008E-2</v>
      </c>
      <c r="T127" s="37">
        <f t="shared" si="47"/>
        <v>24</v>
      </c>
      <c r="U127" s="40">
        <f t="shared" si="74"/>
        <v>0.25000000000000006</v>
      </c>
      <c r="V127" s="39">
        <f t="shared" si="75"/>
        <v>2</v>
      </c>
      <c r="W127" s="37">
        <f t="shared" si="76"/>
        <v>0.82222222222222219</v>
      </c>
      <c r="X127" s="40">
        <f t="shared" si="77"/>
        <v>0.17777777777777781</v>
      </c>
      <c r="Y127" s="39">
        <f t="shared" si="78"/>
        <v>6.5953654188948316E-2</v>
      </c>
      <c r="Z127" s="37">
        <f t="shared" si="71"/>
        <v>0.28297682709447419</v>
      </c>
      <c r="AA127" s="37">
        <f t="shared" si="72"/>
        <v>0.25072393259334652</v>
      </c>
      <c r="AB127" s="37">
        <v>0</v>
      </c>
      <c r="AC127" s="37">
        <f t="shared" si="79"/>
        <v>6.9148739412580262E-2</v>
      </c>
      <c r="AD127" s="40">
        <f t="shared" si="62"/>
        <v>6.9148739412580262E-2</v>
      </c>
      <c r="AE127" s="39">
        <f t="shared" si="70"/>
        <v>0.2055555555555556</v>
      </c>
      <c r="AF127" s="37">
        <f t="shared" si="63"/>
        <v>0.2273476116668384</v>
      </c>
      <c r="AG127" s="37">
        <f t="shared" si="80"/>
        <v>1.4472342228572356E-2</v>
      </c>
      <c r="AH127" s="37">
        <f t="shared" si="81"/>
        <v>0.40175830510063854</v>
      </c>
      <c r="AI127" s="40">
        <f t="shared" si="64"/>
        <v>0.41623064732921089</v>
      </c>
      <c r="AJ127" s="39">
        <f t="shared" si="65"/>
        <v>4.444444444444446E-2</v>
      </c>
      <c r="AK127" s="37">
        <f t="shared" si="82"/>
        <v>0.10571449212126698</v>
      </c>
      <c r="AL127" s="37">
        <f t="shared" si="83"/>
        <v>3.2000000000000008E-2</v>
      </c>
      <c r="AM127" s="37">
        <f t="shared" si="84"/>
        <v>0.59752000000000005</v>
      </c>
      <c r="AN127" s="40">
        <f t="shared" si="66"/>
        <v>0.62952000000000008</v>
      </c>
      <c r="AO127" s="39">
        <f t="shared" si="85"/>
        <v>6.202432383673866E-3</v>
      </c>
      <c r="AP127" s="37">
        <f t="shared" si="86"/>
        <v>4.5441000000000002E-2</v>
      </c>
      <c r="AQ127" s="40">
        <f t="shared" si="87"/>
        <v>1.0800000000000001E-2</v>
      </c>
      <c r="AR127" s="39">
        <f t="shared" si="67"/>
        <v>1.1773428191254651</v>
      </c>
      <c r="AS127" s="37">
        <f t="shared" si="68"/>
        <v>5.4000000000000012</v>
      </c>
      <c r="AT127" s="40">
        <f t="shared" si="69"/>
        <v>82.100023497300299</v>
      </c>
    </row>
    <row r="128" spans="17:46" x14ac:dyDescent="0.25">
      <c r="Q128">
        <v>121</v>
      </c>
      <c r="R128" s="39">
        <f t="shared" si="45"/>
        <v>135</v>
      </c>
      <c r="S128" s="37">
        <f t="shared" si="73"/>
        <v>4.0333333333333339E-2</v>
      </c>
      <c r="T128" s="37">
        <f t="shared" si="47"/>
        <v>24</v>
      </c>
      <c r="U128" s="40">
        <f t="shared" si="74"/>
        <v>0.25208333333333338</v>
      </c>
      <c r="V128" s="39">
        <f t="shared" si="75"/>
        <v>2</v>
      </c>
      <c r="W128" s="37">
        <f t="shared" si="76"/>
        <v>0.82222222222222219</v>
      </c>
      <c r="X128" s="40">
        <f t="shared" si="77"/>
        <v>0.17777777777777781</v>
      </c>
      <c r="Y128" s="39">
        <f t="shared" si="78"/>
        <v>6.5953654188948316E-2</v>
      </c>
      <c r="Z128" s="37">
        <f t="shared" si="71"/>
        <v>0.28506016042780752</v>
      </c>
      <c r="AA128" s="37">
        <f t="shared" si="72"/>
        <v>0.25280130007481649</v>
      </c>
      <c r="AB128" s="37">
        <v>0</v>
      </c>
      <c r="AC128" s="37">
        <f t="shared" si="79"/>
        <v>7.029934705146916E-2</v>
      </c>
      <c r="AD128" s="40">
        <f t="shared" si="62"/>
        <v>7.029934705146916E-2</v>
      </c>
      <c r="AE128" s="39">
        <f t="shared" si="70"/>
        <v>0.20726851851851855</v>
      </c>
      <c r="AF128" s="37">
        <f t="shared" si="63"/>
        <v>0.22923129516917304</v>
      </c>
      <c r="AG128" s="37">
        <f t="shared" si="80"/>
        <v>1.4713156271782232E-2</v>
      </c>
      <c r="AH128" s="37">
        <f t="shared" si="81"/>
        <v>0.40510629097647716</v>
      </c>
      <c r="AI128" s="40">
        <f t="shared" si="64"/>
        <v>0.41981944724825937</v>
      </c>
      <c r="AJ128" s="39">
        <f t="shared" si="65"/>
        <v>4.4814814814814835E-2</v>
      </c>
      <c r="AK128" s="37">
        <f t="shared" si="82"/>
        <v>0.10659038715841535</v>
      </c>
      <c r="AL128" s="37">
        <f t="shared" si="83"/>
        <v>3.2266666666666673E-2</v>
      </c>
      <c r="AM128" s="37">
        <f t="shared" si="84"/>
        <v>0.59752000000000005</v>
      </c>
      <c r="AN128" s="40">
        <f t="shared" si="66"/>
        <v>0.62978666666666672</v>
      </c>
      <c r="AO128" s="39">
        <f t="shared" si="85"/>
        <v>6.3056384021923841E-3</v>
      </c>
      <c r="AP128" s="37">
        <f t="shared" si="86"/>
        <v>4.5441000000000002E-2</v>
      </c>
      <c r="AQ128" s="40">
        <f t="shared" si="87"/>
        <v>1.0800000000000001E-2</v>
      </c>
      <c r="AR128" s="39">
        <f t="shared" si="67"/>
        <v>1.1824520993685876</v>
      </c>
      <c r="AS128" s="37">
        <f t="shared" si="68"/>
        <v>5.4450000000000012</v>
      </c>
      <c r="AT128" s="40">
        <f t="shared" si="69"/>
        <v>82.158270152095966</v>
      </c>
    </row>
    <row r="129" spans="17:46" x14ac:dyDescent="0.25">
      <c r="Q129">
        <v>122</v>
      </c>
      <c r="R129" s="39">
        <f t="shared" si="45"/>
        <v>135</v>
      </c>
      <c r="S129" s="37">
        <f t="shared" si="73"/>
        <v>4.066666666666667E-2</v>
      </c>
      <c r="T129" s="37">
        <f t="shared" si="47"/>
        <v>24</v>
      </c>
      <c r="U129" s="40">
        <f t="shared" si="74"/>
        <v>0.25416666666666665</v>
      </c>
      <c r="V129" s="39">
        <f t="shared" si="75"/>
        <v>2</v>
      </c>
      <c r="W129" s="37">
        <f t="shared" si="76"/>
        <v>0.82222222222222219</v>
      </c>
      <c r="X129" s="40">
        <f t="shared" si="77"/>
        <v>0.17777777777777781</v>
      </c>
      <c r="Y129" s="39">
        <f t="shared" si="78"/>
        <v>6.5953654188948316E-2</v>
      </c>
      <c r="Z129" s="37">
        <f t="shared" si="71"/>
        <v>0.28714349376114079</v>
      </c>
      <c r="AA129" s="37">
        <f t="shared" si="72"/>
        <v>0.25487876494427186</v>
      </c>
      <c r="AB129" s="37">
        <v>0</v>
      </c>
      <c r="AC129" s="37">
        <f t="shared" si="79"/>
        <v>7.1459503301469135E-2</v>
      </c>
      <c r="AD129" s="40">
        <f t="shared" si="62"/>
        <v>7.1459503301469135E-2</v>
      </c>
      <c r="AE129" s="39">
        <f t="shared" si="70"/>
        <v>0.20898148148148146</v>
      </c>
      <c r="AF129" s="37">
        <f t="shared" si="63"/>
        <v>0.2311150669794951</v>
      </c>
      <c r="AG129" s="37">
        <f t="shared" si="80"/>
        <v>1.4955968771782223E-2</v>
      </c>
      <c r="AH129" s="37">
        <f t="shared" si="81"/>
        <v>0.40845427685231572</v>
      </c>
      <c r="AI129" s="40">
        <f t="shared" si="64"/>
        <v>0.42341024562409796</v>
      </c>
      <c r="AJ129" s="39">
        <f t="shared" si="65"/>
        <v>4.5185185185185189E-2</v>
      </c>
      <c r="AK129" s="37">
        <f t="shared" si="82"/>
        <v>0.10746632325794378</v>
      </c>
      <c r="AL129" s="37">
        <f t="shared" si="83"/>
        <v>3.2533333333333338E-2</v>
      </c>
      <c r="AM129" s="37">
        <f t="shared" si="84"/>
        <v>0.59752000000000005</v>
      </c>
      <c r="AN129" s="40">
        <f t="shared" si="66"/>
        <v>0.63005333333333335</v>
      </c>
      <c r="AO129" s="39">
        <f t="shared" si="85"/>
        <v>6.4097009021923806E-3</v>
      </c>
      <c r="AP129" s="37">
        <f t="shared" si="86"/>
        <v>4.5441000000000002E-2</v>
      </c>
      <c r="AQ129" s="40">
        <f t="shared" si="87"/>
        <v>1.0800000000000001E-2</v>
      </c>
      <c r="AR129" s="39">
        <f t="shared" si="67"/>
        <v>1.1875737831610929</v>
      </c>
      <c r="AS129" s="37">
        <f t="shared" si="68"/>
        <v>5.49</v>
      </c>
      <c r="AT129" s="40">
        <f t="shared" si="69"/>
        <v>82.215489911084035</v>
      </c>
    </row>
    <row r="130" spans="17:46" x14ac:dyDescent="0.25">
      <c r="Q130">
        <v>123</v>
      </c>
      <c r="R130" s="39">
        <f t="shared" si="45"/>
        <v>135</v>
      </c>
      <c r="S130" s="37">
        <f t="shared" si="73"/>
        <v>4.1000000000000009E-2</v>
      </c>
      <c r="T130" s="37">
        <f t="shared" si="47"/>
        <v>24</v>
      </c>
      <c r="U130" s="40">
        <f t="shared" si="74"/>
        <v>0.25625000000000003</v>
      </c>
      <c r="V130" s="39">
        <f t="shared" si="75"/>
        <v>2</v>
      </c>
      <c r="W130" s="37">
        <f t="shared" si="76"/>
        <v>0.82222222222222219</v>
      </c>
      <c r="X130" s="40">
        <f t="shared" si="77"/>
        <v>0.17777777777777781</v>
      </c>
      <c r="Y130" s="39">
        <f t="shared" si="78"/>
        <v>6.5953654188948316E-2</v>
      </c>
      <c r="Z130" s="37">
        <f t="shared" si="71"/>
        <v>0.28922682709447417</v>
      </c>
      <c r="AA130" s="37">
        <f t="shared" si="72"/>
        <v>0.25695632483959796</v>
      </c>
      <c r="AB130" s="37">
        <v>0</v>
      </c>
      <c r="AC130" s="37">
        <f t="shared" si="79"/>
        <v>7.2629208162580297E-2</v>
      </c>
      <c r="AD130" s="40">
        <f t="shared" si="62"/>
        <v>7.2629208162580297E-2</v>
      </c>
      <c r="AE130" s="39">
        <f t="shared" si="70"/>
        <v>0.21069444444444446</v>
      </c>
      <c r="AF130" s="37">
        <f t="shared" si="63"/>
        <v>0.23299892495592237</v>
      </c>
      <c r="AG130" s="37">
        <f t="shared" si="80"/>
        <v>1.5200779728572353E-2</v>
      </c>
      <c r="AH130" s="37">
        <f t="shared" si="81"/>
        <v>0.41180226272815446</v>
      </c>
      <c r="AI130" s="40">
        <f t="shared" si="64"/>
        <v>0.42700304245672682</v>
      </c>
      <c r="AJ130" s="39">
        <f t="shared" si="65"/>
        <v>4.5555555555555571E-2</v>
      </c>
      <c r="AK130" s="37">
        <f t="shared" si="82"/>
        <v>0.1083422994238973</v>
      </c>
      <c r="AL130" s="37">
        <f t="shared" si="83"/>
        <v>3.280000000000001E-2</v>
      </c>
      <c r="AM130" s="37">
        <f t="shared" si="84"/>
        <v>0.59752000000000005</v>
      </c>
      <c r="AN130" s="40">
        <f t="shared" si="66"/>
        <v>0.6303200000000001</v>
      </c>
      <c r="AO130" s="39">
        <f t="shared" si="85"/>
        <v>6.5146198836738651E-3</v>
      </c>
      <c r="AP130" s="37">
        <f t="shared" si="86"/>
        <v>4.5441000000000002E-2</v>
      </c>
      <c r="AQ130" s="40">
        <f t="shared" si="87"/>
        <v>1.0800000000000001E-2</v>
      </c>
      <c r="AR130" s="39">
        <f t="shared" si="67"/>
        <v>1.192707870502981</v>
      </c>
      <c r="AS130" s="37">
        <f t="shared" si="68"/>
        <v>5.535000000000001</v>
      </c>
      <c r="AT130" s="40">
        <f t="shared" si="69"/>
        <v>82.271705409024975</v>
      </c>
    </row>
    <row r="131" spans="17:46" x14ac:dyDescent="0.25">
      <c r="Q131">
        <v>124</v>
      </c>
      <c r="R131" s="39">
        <f t="shared" si="45"/>
        <v>135</v>
      </c>
      <c r="S131" s="37">
        <f t="shared" si="73"/>
        <v>4.133333333333334E-2</v>
      </c>
      <c r="T131" s="37">
        <f t="shared" si="47"/>
        <v>24</v>
      </c>
      <c r="U131" s="40">
        <f t="shared" si="74"/>
        <v>0.25833333333333336</v>
      </c>
      <c r="V131" s="39">
        <f t="shared" si="75"/>
        <v>2</v>
      </c>
      <c r="W131" s="37">
        <f t="shared" si="76"/>
        <v>0.82222222222222219</v>
      </c>
      <c r="X131" s="40">
        <f t="shared" si="77"/>
        <v>0.17777777777777781</v>
      </c>
      <c r="Y131" s="39">
        <f t="shared" si="78"/>
        <v>6.5953654188948316E-2</v>
      </c>
      <c r="Z131" s="37">
        <f t="shared" si="71"/>
        <v>0.2913101604278075</v>
      </c>
      <c r="AA131" s="37">
        <f t="shared" si="72"/>
        <v>0.25903397747435386</v>
      </c>
      <c r="AB131" s="37">
        <v>0</v>
      </c>
      <c r="AC131" s="37">
        <f t="shared" si="79"/>
        <v>7.3808461634802466E-2</v>
      </c>
      <c r="AD131" s="40">
        <f t="shared" si="62"/>
        <v>7.3808461634802466E-2</v>
      </c>
      <c r="AE131" s="39">
        <f t="shared" si="70"/>
        <v>0.21240740740740743</v>
      </c>
      <c r="AF131" s="37">
        <f t="shared" si="63"/>
        <v>0.23488286702519098</v>
      </c>
      <c r="AG131" s="37">
        <f t="shared" si="80"/>
        <v>1.5447589142152595E-2</v>
      </c>
      <c r="AH131" s="37">
        <f t="shared" si="81"/>
        <v>0.41515024860399302</v>
      </c>
      <c r="AI131" s="40">
        <f t="shared" si="64"/>
        <v>0.43059783774614563</v>
      </c>
      <c r="AJ131" s="39">
        <f t="shared" si="65"/>
        <v>4.5925925925925939E-2</v>
      </c>
      <c r="AK131" s="37">
        <f t="shared" si="82"/>
        <v>0.1092183146922278</v>
      </c>
      <c r="AL131" s="37">
        <f t="shared" si="83"/>
        <v>3.3066666666666675E-2</v>
      </c>
      <c r="AM131" s="37">
        <f t="shared" si="84"/>
        <v>0.59752000000000005</v>
      </c>
      <c r="AN131" s="40">
        <f t="shared" si="66"/>
        <v>0.63058666666666674</v>
      </c>
      <c r="AO131" s="39">
        <f t="shared" si="85"/>
        <v>6.6203953466368254E-3</v>
      </c>
      <c r="AP131" s="37">
        <f t="shared" si="86"/>
        <v>4.5441000000000002E-2</v>
      </c>
      <c r="AQ131" s="40">
        <f t="shared" si="87"/>
        <v>1.0800000000000001E-2</v>
      </c>
      <c r="AR131" s="39">
        <f t="shared" si="67"/>
        <v>1.1978543613942516</v>
      </c>
      <c r="AS131" s="37">
        <f t="shared" si="68"/>
        <v>5.580000000000001</v>
      </c>
      <c r="AT131" s="40">
        <f t="shared" si="69"/>
        <v>82.326938622094488</v>
      </c>
    </row>
    <row r="132" spans="17:46" x14ac:dyDescent="0.25">
      <c r="Q132">
        <v>125</v>
      </c>
      <c r="R132" s="39">
        <f t="shared" si="45"/>
        <v>135</v>
      </c>
      <c r="S132" s="37">
        <f t="shared" si="73"/>
        <v>4.1666666666666671E-2</v>
      </c>
      <c r="T132" s="37">
        <f t="shared" si="47"/>
        <v>24</v>
      </c>
      <c r="U132" s="40">
        <f t="shared" si="74"/>
        <v>0.26041666666666669</v>
      </c>
      <c r="V132" s="39">
        <f t="shared" si="75"/>
        <v>2</v>
      </c>
      <c r="W132" s="37">
        <f t="shared" si="76"/>
        <v>0.82222222222222219</v>
      </c>
      <c r="X132" s="40">
        <f t="shared" si="77"/>
        <v>0.17777777777777781</v>
      </c>
      <c r="Y132" s="39">
        <f t="shared" si="78"/>
        <v>6.5953654188948316E-2</v>
      </c>
      <c r="Z132" s="37">
        <f t="shared" si="71"/>
        <v>0.29339349376114082</v>
      </c>
      <c r="AA132" s="37">
        <f t="shared" si="72"/>
        <v>0.26111172063477112</v>
      </c>
      <c r="AB132" s="37">
        <v>0</v>
      </c>
      <c r="AC132" s="37">
        <f t="shared" si="79"/>
        <v>7.4997263718135837E-2</v>
      </c>
      <c r="AD132" s="40">
        <f t="shared" si="62"/>
        <v>7.4997263718135837E-2</v>
      </c>
      <c r="AE132" s="39">
        <f t="shared" si="70"/>
        <v>0.21412037037037038</v>
      </c>
      <c r="AF132" s="37">
        <f t="shared" si="63"/>
        <v>0.23676689117993377</v>
      </c>
      <c r="AG132" s="37">
        <f t="shared" si="80"/>
        <v>1.569639701252297E-2</v>
      </c>
      <c r="AH132" s="37">
        <f t="shared" si="81"/>
        <v>0.4184982344798317</v>
      </c>
      <c r="AI132" s="40">
        <f t="shared" si="64"/>
        <v>0.43419463149235465</v>
      </c>
      <c r="AJ132" s="39">
        <f t="shared" si="65"/>
        <v>4.6296296296296308E-2</v>
      </c>
      <c r="AK132" s="37">
        <f t="shared" si="82"/>
        <v>0.11009436812952846</v>
      </c>
      <c r="AL132" s="37">
        <f t="shared" si="83"/>
        <v>3.333333333333334E-2</v>
      </c>
      <c r="AM132" s="37">
        <f t="shared" si="84"/>
        <v>0.59752000000000005</v>
      </c>
      <c r="AN132" s="40">
        <f t="shared" si="66"/>
        <v>0.63085333333333338</v>
      </c>
      <c r="AO132" s="39">
        <f t="shared" si="85"/>
        <v>6.7270272910812711E-3</v>
      </c>
      <c r="AP132" s="37">
        <f t="shared" si="86"/>
        <v>4.5441000000000002E-2</v>
      </c>
      <c r="AQ132" s="40">
        <f t="shared" si="87"/>
        <v>1.0800000000000001E-2</v>
      </c>
      <c r="AR132" s="39">
        <f t="shared" si="67"/>
        <v>1.2030132558349051</v>
      </c>
      <c r="AS132" s="37">
        <f t="shared" si="68"/>
        <v>5.6250000000000009</v>
      </c>
      <c r="AT132" s="40">
        <f t="shared" si="69"/>
        <v>82.38121089166215</v>
      </c>
    </row>
    <row r="133" spans="17:46" x14ac:dyDescent="0.25">
      <c r="Q133">
        <v>126</v>
      </c>
      <c r="R133" s="39">
        <f t="shared" si="45"/>
        <v>135</v>
      </c>
      <c r="S133" s="37">
        <f t="shared" si="73"/>
        <v>4.2000000000000003E-2</v>
      </c>
      <c r="T133" s="37">
        <f t="shared" si="47"/>
        <v>24</v>
      </c>
      <c r="U133" s="40">
        <f t="shared" si="74"/>
        <v>0.26249999999999996</v>
      </c>
      <c r="V133" s="39">
        <f t="shared" si="75"/>
        <v>2</v>
      </c>
      <c r="W133" s="37">
        <f t="shared" si="76"/>
        <v>0.82222222222222219</v>
      </c>
      <c r="X133" s="40">
        <f t="shared" si="77"/>
        <v>0.17777777777777781</v>
      </c>
      <c r="Y133" s="39">
        <f t="shared" si="78"/>
        <v>6.5953654188948316E-2</v>
      </c>
      <c r="Z133" s="37">
        <f t="shared" si="71"/>
        <v>0.29547682709447409</v>
      </c>
      <c r="AA133" s="37">
        <f t="shared" si="72"/>
        <v>0.26318955217689194</v>
      </c>
      <c r="AB133" s="37">
        <v>0</v>
      </c>
      <c r="AC133" s="37">
        <f t="shared" si="79"/>
        <v>7.6195614412580229E-2</v>
      </c>
      <c r="AD133" s="40">
        <f t="shared" si="62"/>
        <v>7.6195614412580229E-2</v>
      </c>
      <c r="AE133" s="39">
        <f t="shared" si="70"/>
        <v>0.21583333333333329</v>
      </c>
      <c r="AF133" s="37">
        <f t="shared" si="63"/>
        <v>0.23865099547608556</v>
      </c>
      <c r="AG133" s="37">
        <f t="shared" si="80"/>
        <v>1.5947203339683452E-2</v>
      </c>
      <c r="AH133" s="37">
        <f t="shared" si="81"/>
        <v>0.42184622035567021</v>
      </c>
      <c r="AI133" s="40">
        <f t="shared" si="64"/>
        <v>0.43779342369535368</v>
      </c>
      <c r="AJ133" s="39">
        <f t="shared" si="65"/>
        <v>4.6666666666666669E-2</v>
      </c>
      <c r="AK133" s="37">
        <f t="shared" si="82"/>
        <v>0.11097045883182739</v>
      </c>
      <c r="AL133" s="37">
        <f t="shared" si="83"/>
        <v>3.3600000000000005E-2</v>
      </c>
      <c r="AM133" s="37">
        <f t="shared" si="84"/>
        <v>0.59752000000000005</v>
      </c>
      <c r="AN133" s="40">
        <f t="shared" si="66"/>
        <v>0.63112000000000001</v>
      </c>
      <c r="AO133" s="39">
        <f t="shared" si="85"/>
        <v>6.8345157170071934E-3</v>
      </c>
      <c r="AP133" s="37">
        <f t="shared" si="86"/>
        <v>4.5441000000000002E-2</v>
      </c>
      <c r="AQ133" s="40">
        <f t="shared" si="87"/>
        <v>1.0800000000000001E-2</v>
      </c>
      <c r="AR133" s="39">
        <f t="shared" si="67"/>
        <v>1.2081845538249412</v>
      </c>
      <c r="AS133" s="37">
        <f t="shared" si="68"/>
        <v>5.67</v>
      </c>
      <c r="AT133" s="40">
        <f t="shared" si="69"/>
        <v>82.43454294704739</v>
      </c>
    </row>
    <row r="134" spans="17:46" x14ac:dyDescent="0.25">
      <c r="Q134">
        <v>127</v>
      </c>
      <c r="R134" s="39">
        <f t="shared" si="45"/>
        <v>135</v>
      </c>
      <c r="S134" s="37">
        <f t="shared" si="73"/>
        <v>4.2333333333333341E-2</v>
      </c>
      <c r="T134" s="37">
        <f t="shared" si="47"/>
        <v>24</v>
      </c>
      <c r="U134" s="40">
        <f t="shared" si="74"/>
        <v>0.26458333333333334</v>
      </c>
      <c r="V134" s="39">
        <f t="shared" si="75"/>
        <v>2</v>
      </c>
      <c r="W134" s="37">
        <f t="shared" si="76"/>
        <v>0.82222222222222219</v>
      </c>
      <c r="X134" s="40">
        <f t="shared" si="77"/>
        <v>0.17777777777777781</v>
      </c>
      <c r="Y134" s="39">
        <f t="shared" si="78"/>
        <v>6.5953654188948316E-2</v>
      </c>
      <c r="Z134" s="37">
        <f t="shared" si="71"/>
        <v>0.29756016042780747</v>
      </c>
      <c r="AA134" s="37">
        <f t="shared" si="72"/>
        <v>0.26526747002384354</v>
      </c>
      <c r="AB134" s="37">
        <v>0</v>
      </c>
      <c r="AC134" s="37">
        <f t="shared" si="79"/>
        <v>7.7403513718135822E-2</v>
      </c>
      <c r="AD134" s="40">
        <f t="shared" si="62"/>
        <v>7.7403513718135822E-2</v>
      </c>
      <c r="AE134" s="39">
        <f t="shared" si="70"/>
        <v>0.21754629629629629</v>
      </c>
      <c r="AF134" s="37">
        <f t="shared" si="63"/>
        <v>0.24053517803041136</v>
      </c>
      <c r="AG134" s="37">
        <f t="shared" si="80"/>
        <v>1.6200008123634074E-2</v>
      </c>
      <c r="AH134" s="37">
        <f t="shared" si="81"/>
        <v>0.425194206231509</v>
      </c>
      <c r="AI134" s="40">
        <f t="shared" si="64"/>
        <v>0.44139421435514309</v>
      </c>
      <c r="AJ134" s="39">
        <f t="shared" si="65"/>
        <v>4.7037037037037044E-2</v>
      </c>
      <c r="AK134" s="37">
        <f t="shared" si="82"/>
        <v>0.11184658592343807</v>
      </c>
      <c r="AL134" s="37">
        <f t="shared" si="83"/>
        <v>3.3866666666666677E-2</v>
      </c>
      <c r="AM134" s="37">
        <f t="shared" si="84"/>
        <v>0.59752000000000005</v>
      </c>
      <c r="AN134" s="40">
        <f t="shared" si="66"/>
        <v>0.63138666666666676</v>
      </c>
      <c r="AO134" s="39">
        <f t="shared" si="85"/>
        <v>6.9428606244146028E-3</v>
      </c>
      <c r="AP134" s="37">
        <f t="shared" si="86"/>
        <v>4.5441000000000002E-2</v>
      </c>
      <c r="AQ134" s="40">
        <f t="shared" si="87"/>
        <v>1.0800000000000001E-2</v>
      </c>
      <c r="AR134" s="39">
        <f t="shared" si="67"/>
        <v>1.2133682553643603</v>
      </c>
      <c r="AS134" s="37">
        <f t="shared" si="68"/>
        <v>5.7150000000000007</v>
      </c>
      <c r="AT134" s="40">
        <f t="shared" si="69"/>
        <v>82.486954927303444</v>
      </c>
    </row>
    <row r="135" spans="17:46" x14ac:dyDescent="0.25">
      <c r="Q135">
        <v>128</v>
      </c>
      <c r="R135" s="39">
        <f t="shared" ref="R135:R157" si="88">VOUT</f>
        <v>135</v>
      </c>
      <c r="S135" s="37">
        <f t="shared" ref="S135:S157" si="89">Q135*$O$12</f>
        <v>4.2666666666666672E-2</v>
      </c>
      <c r="T135" s="37">
        <f t="shared" ref="T135:T157" si="90">VIN_var</f>
        <v>24</v>
      </c>
      <c r="U135" s="40">
        <f t="shared" ref="U135:U157" si="91">(R135*S135)/(T135*EFF_est)</f>
        <v>0.26666666666666666</v>
      </c>
      <c r="V135" s="39">
        <f t="shared" ref="V135:V157" si="92">IF((S135*R135/T135)&lt;((T135*(1-(T135/R135)))/(2*Lm*Fsw)),1,2)</f>
        <v>2</v>
      </c>
      <c r="W135" s="37">
        <f t="shared" ref="W135:W157" si="93">CHOOSE(V135,SQRT((2*S135*Lm*Fsw*(R135-T135))/((T135)^2)),1-(T135/R135))</f>
        <v>0.82222222222222219</v>
      </c>
      <c r="X135" s="40">
        <f t="shared" ref="X135:X157" si="94">CHOOSE(V135,(Lm*W135*Fsw)/(R135-T135),1-W135)</f>
        <v>0.17777777777777781</v>
      </c>
      <c r="Y135" s="39">
        <f t="shared" ref="Y135:Y157" si="95">(T135*W135)/(Lm*Fsw)</f>
        <v>6.5953654188948316E-2</v>
      </c>
      <c r="Z135" s="37">
        <f t="shared" si="71"/>
        <v>0.2996434937611408</v>
      </c>
      <c r="AA135" s="37">
        <f t="shared" si="72"/>
        <v>0.2673454721632369</v>
      </c>
      <c r="AB135" s="37">
        <v>0</v>
      </c>
      <c r="AC135" s="37">
        <f t="shared" ref="AC135:AC157" si="96">(AA135^2)*Rdcr</f>
        <v>7.8620961634802491E-2</v>
      </c>
      <c r="AD135" s="40">
        <f t="shared" si="62"/>
        <v>7.8620961634802491E-2</v>
      </c>
      <c r="AE135" s="39">
        <f t="shared" si="70"/>
        <v>0.21925925925925924</v>
      </c>
      <c r="AF135" s="37">
        <f t="shared" si="63"/>
        <v>0.24241943701814786</v>
      </c>
      <c r="AG135" s="37">
        <f t="shared" ref="AG135:AG157" si="97">(AF135^2)*RDS_on</f>
        <v>1.6454811364374815E-2</v>
      </c>
      <c r="AH135" s="37">
        <f t="shared" ref="AH135:AH157" si="98">((R135*U135)/2)*Fsw*(tr_sw+tf_sw)</f>
        <v>0.42854219210734762</v>
      </c>
      <c r="AI135" s="40">
        <f t="shared" si="64"/>
        <v>0.44499700347172244</v>
      </c>
      <c r="AJ135" s="39">
        <f t="shared" si="65"/>
        <v>4.7407407407407419E-2</v>
      </c>
      <c r="AK135" s="37">
        <f t="shared" ref="AK135:AK157" si="99">CHOOSE(V135,Z135*SQRT(X135/3),SQRT(X135*((Z135^2)+((Y135^2)/3)-(Y135*Z135))))</f>
        <v>0.11272274855586283</v>
      </c>
      <c r="AL135" s="37">
        <f t="shared" ref="AL135:AL157" si="100">S135*Vd_rect</f>
        <v>3.4133333333333342E-2</v>
      </c>
      <c r="AM135" s="37">
        <f t="shared" ref="AM135:AM157" si="101">CHOOSE(V135,(R135+Vd_rect)*Qrr*Fsw,(R135+Vd_rect)*Qrr*Fsw)</f>
        <v>0.59752000000000005</v>
      </c>
      <c r="AN135" s="40">
        <f t="shared" si="66"/>
        <v>0.6316533333333334</v>
      </c>
      <c r="AO135" s="39">
        <f t="shared" ref="AO135:AO157" si="102">(AF135^2)*R_cs</f>
        <v>7.0520620133034907E-3</v>
      </c>
      <c r="AP135" s="37">
        <f t="shared" ref="AP135:AP157" si="103">Qg_tot*Vcc*Fsw</f>
        <v>4.5441000000000002E-2</v>
      </c>
      <c r="AQ135" s="40">
        <f t="shared" ref="AQ135:AQ157" si="104">IQ*T135</f>
        <v>1.0800000000000001E-2</v>
      </c>
      <c r="AR135" s="39">
        <f t="shared" si="67"/>
        <v>1.218564360453162</v>
      </c>
      <c r="AS135" s="37">
        <f t="shared" si="68"/>
        <v>5.7600000000000007</v>
      </c>
      <c r="AT135" s="40">
        <f t="shared" si="69"/>
        <v>82.538466402077688</v>
      </c>
    </row>
    <row r="136" spans="17:46" x14ac:dyDescent="0.25">
      <c r="Q136">
        <v>129</v>
      </c>
      <c r="R136" s="39">
        <f t="shared" si="88"/>
        <v>135</v>
      </c>
      <c r="S136" s="37">
        <f t="shared" si="89"/>
        <v>4.3000000000000003E-2</v>
      </c>
      <c r="T136" s="37">
        <f t="shared" si="90"/>
        <v>24</v>
      </c>
      <c r="U136" s="40">
        <f t="shared" si="91"/>
        <v>0.26874999999999999</v>
      </c>
      <c r="V136" s="39">
        <f t="shared" si="92"/>
        <v>2</v>
      </c>
      <c r="W136" s="37">
        <f t="shared" si="93"/>
        <v>0.82222222222222219</v>
      </c>
      <c r="X136" s="40">
        <f t="shared" si="94"/>
        <v>0.17777777777777781</v>
      </c>
      <c r="Y136" s="39">
        <f t="shared" si="95"/>
        <v>6.5953654188948316E-2</v>
      </c>
      <c r="Z136" s="37">
        <f t="shared" si="71"/>
        <v>0.30172682709447413</v>
      </c>
      <c r="AA136" s="37">
        <f t="shared" si="72"/>
        <v>0.26942355664468715</v>
      </c>
      <c r="AB136" s="37">
        <v>0</v>
      </c>
      <c r="AC136" s="37">
        <f t="shared" si="96"/>
        <v>7.9847958162580251E-2</v>
      </c>
      <c r="AD136" s="40">
        <f t="shared" ref="AD136:AD157" si="105">AB136+AC136</f>
        <v>7.9847958162580251E-2</v>
      </c>
      <c r="AE136" s="39">
        <f t="shared" si="70"/>
        <v>0.22097222222222221</v>
      </c>
      <c r="AF136" s="37">
        <f t="shared" ref="AF136:AF157" si="106">CHOOSE(V136,Z136*SQRT(W136/3),SQRT(W136*((Z136^2)+((Y136^2)/3)-(Z136*Y136))))</f>
        <v>0.24430377067075501</v>
      </c>
      <c r="AG136" s="37">
        <f t="shared" si="97"/>
        <v>1.6711613061905682E-2</v>
      </c>
      <c r="AH136" s="37">
        <f t="shared" si="98"/>
        <v>0.4318901779831863</v>
      </c>
      <c r="AI136" s="40">
        <f t="shared" ref="AI136:AI157" si="107">AG136+AH136</f>
        <v>0.44860179104509196</v>
      </c>
      <c r="AJ136" s="39">
        <f t="shared" ref="AJ136:AJ156" si="108">X136*U136</f>
        <v>4.7777777777777787E-2</v>
      </c>
      <c r="AK136" s="37">
        <f t="shared" si="99"/>
        <v>0.11359894590674721</v>
      </c>
      <c r="AL136" s="37">
        <f t="shared" si="100"/>
        <v>3.4400000000000007E-2</v>
      </c>
      <c r="AM136" s="37">
        <f t="shared" si="101"/>
        <v>0.59752000000000005</v>
      </c>
      <c r="AN136" s="40">
        <f t="shared" ref="AN136:AN157" si="109">AL136+AM136</f>
        <v>0.63192000000000004</v>
      </c>
      <c r="AO136" s="39">
        <f t="shared" si="102"/>
        <v>7.1621198836738622E-3</v>
      </c>
      <c r="AP136" s="37">
        <f t="shared" si="103"/>
        <v>4.5441000000000002E-2</v>
      </c>
      <c r="AQ136" s="40">
        <f t="shared" si="104"/>
        <v>1.0800000000000001E-2</v>
      </c>
      <c r="AR136" s="39">
        <f t="shared" ref="AR136:AR157" si="110">AO136+AN136+AI136+AD136+AP136+AQ136</f>
        <v>1.2237728690913461</v>
      </c>
      <c r="AS136" s="37">
        <f t="shared" ref="AS136:AS157" si="111">R136*S136</f>
        <v>5.8050000000000006</v>
      </c>
      <c r="AT136" s="40">
        <f t="shared" ref="AT136:AT156" si="112">(AS136/(AS136+AR136))*100</f>
        <v>82.589096391593159</v>
      </c>
    </row>
    <row r="137" spans="17:46" x14ac:dyDescent="0.25">
      <c r="Q137">
        <v>130</v>
      </c>
      <c r="R137" s="39">
        <f t="shared" si="88"/>
        <v>135</v>
      </c>
      <c r="S137" s="37">
        <f t="shared" si="89"/>
        <v>4.3333333333333342E-2</v>
      </c>
      <c r="T137" s="37">
        <f t="shared" si="90"/>
        <v>24</v>
      </c>
      <c r="U137" s="40">
        <f t="shared" si="91"/>
        <v>0.27083333333333337</v>
      </c>
      <c r="V137" s="39">
        <f t="shared" si="92"/>
        <v>2</v>
      </c>
      <c r="W137" s="37">
        <f t="shared" si="93"/>
        <v>0.82222222222222219</v>
      </c>
      <c r="X137" s="40">
        <f t="shared" si="94"/>
        <v>0.17777777777777781</v>
      </c>
      <c r="Y137" s="39">
        <f t="shared" si="95"/>
        <v>6.5953654188948316E-2</v>
      </c>
      <c r="Z137" s="37">
        <f t="shared" si="71"/>
        <v>0.30381016042780751</v>
      </c>
      <c r="AA137" s="37">
        <f t="shared" si="72"/>
        <v>0.27150172157744673</v>
      </c>
      <c r="AB137" s="37">
        <v>0</v>
      </c>
      <c r="AC137" s="37">
        <f t="shared" si="96"/>
        <v>8.1084503301469144E-2</v>
      </c>
      <c r="AD137" s="40">
        <f t="shared" si="105"/>
        <v>8.1084503301469144E-2</v>
      </c>
      <c r="AE137" s="39">
        <f t="shared" ref="AE137:AE157" si="113">U137*W137</f>
        <v>0.22268518518518521</v>
      </c>
      <c r="AF137" s="37">
        <f t="shared" si="106"/>
        <v>0.24618817727376952</v>
      </c>
      <c r="AG137" s="37">
        <f t="shared" si="97"/>
        <v>1.6970413216226672E-2</v>
      </c>
      <c r="AH137" s="37">
        <f t="shared" si="98"/>
        <v>0.43523816385902503</v>
      </c>
      <c r="AI137" s="40">
        <f t="shared" si="107"/>
        <v>0.45220857707525169</v>
      </c>
      <c r="AJ137" s="39">
        <f t="shared" si="108"/>
        <v>4.8148148148148162E-2</v>
      </c>
      <c r="AK137" s="37">
        <f t="shared" si="99"/>
        <v>0.11447517717888202</v>
      </c>
      <c r="AL137" s="37">
        <f t="shared" si="100"/>
        <v>3.4666666666666672E-2</v>
      </c>
      <c r="AM137" s="37">
        <f t="shared" si="101"/>
        <v>0.59752000000000005</v>
      </c>
      <c r="AN137" s="40">
        <f t="shared" si="109"/>
        <v>0.63218666666666667</v>
      </c>
      <c r="AO137" s="39">
        <f t="shared" si="102"/>
        <v>7.2730342355257155E-3</v>
      </c>
      <c r="AP137" s="37">
        <f t="shared" si="103"/>
        <v>4.5441000000000002E-2</v>
      </c>
      <c r="AQ137" s="40">
        <f t="shared" si="104"/>
        <v>1.0800000000000001E-2</v>
      </c>
      <c r="AR137" s="39">
        <f t="shared" si="110"/>
        <v>1.2289937812789131</v>
      </c>
      <c r="AS137" s="37">
        <f t="shared" si="111"/>
        <v>5.8500000000000014</v>
      </c>
      <c r="AT137" s="40">
        <f t="shared" si="112"/>
        <v>82.638863385794949</v>
      </c>
    </row>
    <row r="138" spans="17:46" x14ac:dyDescent="0.25">
      <c r="Q138">
        <v>131</v>
      </c>
      <c r="R138" s="39">
        <f t="shared" si="88"/>
        <v>135</v>
      </c>
      <c r="S138" s="37">
        <f t="shared" si="89"/>
        <v>4.3666666666666673E-2</v>
      </c>
      <c r="T138" s="37">
        <f t="shared" si="90"/>
        <v>24</v>
      </c>
      <c r="U138" s="40">
        <f t="shared" si="91"/>
        <v>0.2729166666666667</v>
      </c>
      <c r="V138" s="39">
        <f t="shared" si="92"/>
        <v>2</v>
      </c>
      <c r="W138" s="37">
        <f t="shared" si="93"/>
        <v>0.82222222222222219</v>
      </c>
      <c r="X138" s="40">
        <f t="shared" si="94"/>
        <v>0.17777777777777781</v>
      </c>
      <c r="Y138" s="39">
        <f t="shared" si="95"/>
        <v>6.5953654188948316E-2</v>
      </c>
      <c r="Z138" s="37">
        <f t="shared" si="71"/>
        <v>0.30589349376114083</v>
      </c>
      <c r="AA138" s="37">
        <f t="shared" si="72"/>
        <v>0.2735799651281457</v>
      </c>
      <c r="AB138" s="37">
        <v>0</v>
      </c>
      <c r="AC138" s="37">
        <f t="shared" si="96"/>
        <v>8.2330597051469154E-2</v>
      </c>
      <c r="AD138" s="40">
        <f t="shared" si="105"/>
        <v>8.2330597051469154E-2</v>
      </c>
      <c r="AE138" s="39">
        <f t="shared" si="113"/>
        <v>0.22439814814814815</v>
      </c>
      <c r="AF138" s="37">
        <f t="shared" si="106"/>
        <v>0.24807265516475627</v>
      </c>
      <c r="AG138" s="37">
        <f t="shared" si="97"/>
        <v>1.7231211827337781E-2</v>
      </c>
      <c r="AH138" s="37">
        <f t="shared" si="98"/>
        <v>0.43858614973486371</v>
      </c>
      <c r="AI138" s="40">
        <f t="shared" si="107"/>
        <v>0.45581736156220148</v>
      </c>
      <c r="AJ138" s="39">
        <f t="shared" si="108"/>
        <v>4.851851851851853E-2</v>
      </c>
      <c r="AK138" s="37">
        <f t="shared" si="99"/>
        <v>0.11535144159925058</v>
      </c>
      <c r="AL138" s="37">
        <f t="shared" si="100"/>
        <v>3.4933333333333337E-2</v>
      </c>
      <c r="AM138" s="37">
        <f t="shared" si="101"/>
        <v>0.59752000000000005</v>
      </c>
      <c r="AN138" s="40">
        <f t="shared" si="109"/>
        <v>0.63245333333333342</v>
      </c>
      <c r="AO138" s="39">
        <f t="shared" si="102"/>
        <v>7.3848050688590482E-3</v>
      </c>
      <c r="AP138" s="37">
        <f t="shared" si="103"/>
        <v>4.5441000000000002E-2</v>
      </c>
      <c r="AQ138" s="40">
        <f t="shared" si="104"/>
        <v>1.0800000000000001E-2</v>
      </c>
      <c r="AR138" s="39">
        <f t="shared" si="110"/>
        <v>1.2342270970158631</v>
      </c>
      <c r="AS138" s="37">
        <f t="shared" si="111"/>
        <v>5.8950000000000005</v>
      </c>
      <c r="AT138" s="40">
        <f t="shared" si="112"/>
        <v>82.68778536270105</v>
      </c>
    </row>
    <row r="139" spans="17:46" x14ac:dyDescent="0.25">
      <c r="Q139">
        <v>132</v>
      </c>
      <c r="R139" s="39">
        <f t="shared" si="88"/>
        <v>135</v>
      </c>
      <c r="S139" s="37">
        <f t="shared" si="89"/>
        <v>4.4000000000000004E-2</v>
      </c>
      <c r="T139" s="37">
        <f t="shared" si="90"/>
        <v>24</v>
      </c>
      <c r="U139" s="40">
        <f t="shared" si="91"/>
        <v>0.27500000000000002</v>
      </c>
      <c r="V139" s="39">
        <f t="shared" si="92"/>
        <v>2</v>
      </c>
      <c r="W139" s="37">
        <f t="shared" si="93"/>
        <v>0.82222222222222219</v>
      </c>
      <c r="X139" s="40">
        <f t="shared" si="94"/>
        <v>0.17777777777777781</v>
      </c>
      <c r="Y139" s="39">
        <f t="shared" si="95"/>
        <v>6.5953654188948316E-2</v>
      </c>
      <c r="Z139" s="37">
        <f t="shared" si="71"/>
        <v>0.30797682709447416</v>
      </c>
      <c r="AA139" s="37">
        <f t="shared" si="72"/>
        <v>0.27565828551863442</v>
      </c>
      <c r="AB139" s="37">
        <v>0</v>
      </c>
      <c r="AC139" s="37">
        <f t="shared" si="96"/>
        <v>8.3586239412580282E-2</v>
      </c>
      <c r="AD139" s="40">
        <f t="shared" si="105"/>
        <v>8.3586239412580282E-2</v>
      </c>
      <c r="AE139" s="39">
        <f t="shared" si="113"/>
        <v>0.22611111111111112</v>
      </c>
      <c r="AF139" s="37">
        <f t="shared" si="106"/>
        <v>0.249957202731352</v>
      </c>
      <c r="AG139" s="37">
        <f t="shared" si="97"/>
        <v>1.749400889523902E-2</v>
      </c>
      <c r="AH139" s="37">
        <f t="shared" si="98"/>
        <v>0.44193413561070227</v>
      </c>
      <c r="AI139" s="40">
        <f t="shared" si="107"/>
        <v>0.45942814450594127</v>
      </c>
      <c r="AJ139" s="39">
        <f t="shared" si="108"/>
        <v>4.8888888888888905E-2</v>
      </c>
      <c r="AK139" s="37">
        <f t="shared" si="99"/>
        <v>0.11622773841811923</v>
      </c>
      <c r="AL139" s="37">
        <f t="shared" si="100"/>
        <v>3.5200000000000002E-2</v>
      </c>
      <c r="AM139" s="37">
        <f t="shared" si="101"/>
        <v>0.59752000000000005</v>
      </c>
      <c r="AN139" s="40">
        <f t="shared" si="109"/>
        <v>0.63272000000000006</v>
      </c>
      <c r="AO139" s="39">
        <f t="shared" si="102"/>
        <v>7.4974323836738644E-3</v>
      </c>
      <c r="AP139" s="37">
        <f t="shared" si="103"/>
        <v>4.5441000000000002E-2</v>
      </c>
      <c r="AQ139" s="40">
        <f t="shared" si="104"/>
        <v>1.0800000000000001E-2</v>
      </c>
      <c r="AR139" s="39">
        <f t="shared" si="110"/>
        <v>1.2394728163021955</v>
      </c>
      <c r="AS139" s="37">
        <f t="shared" si="111"/>
        <v>5.94</v>
      </c>
      <c r="AT139" s="40">
        <f t="shared" si="112"/>
        <v>82.735879805996831</v>
      </c>
    </row>
    <row r="140" spans="17:46" x14ac:dyDescent="0.25">
      <c r="Q140">
        <v>133</v>
      </c>
      <c r="R140" s="39">
        <f t="shared" si="88"/>
        <v>135</v>
      </c>
      <c r="S140" s="37">
        <f t="shared" si="89"/>
        <v>4.4333333333333336E-2</v>
      </c>
      <c r="T140" s="37">
        <f t="shared" si="90"/>
        <v>24</v>
      </c>
      <c r="U140" s="40">
        <f t="shared" si="91"/>
        <v>0.27708333333333335</v>
      </c>
      <c r="V140" s="39">
        <f t="shared" si="92"/>
        <v>2</v>
      </c>
      <c r="W140" s="37">
        <f t="shared" si="93"/>
        <v>0.82222222222222219</v>
      </c>
      <c r="X140" s="40">
        <f t="shared" si="94"/>
        <v>0.17777777777777781</v>
      </c>
      <c r="Y140" s="39">
        <f t="shared" si="95"/>
        <v>6.5953654188948316E-2</v>
      </c>
      <c r="Z140" s="37">
        <f t="shared" si="71"/>
        <v>0.31006016042780749</v>
      </c>
      <c r="AA140" s="37">
        <f t="shared" si="72"/>
        <v>0.27773668102392252</v>
      </c>
      <c r="AB140" s="37">
        <v>0</v>
      </c>
      <c r="AC140" s="37">
        <f t="shared" si="96"/>
        <v>8.4851430384802501E-2</v>
      </c>
      <c r="AD140" s="40">
        <f t="shared" si="105"/>
        <v>8.4851430384802501E-2</v>
      </c>
      <c r="AE140" s="39">
        <f t="shared" si="113"/>
        <v>0.22782407407407407</v>
      </c>
      <c r="AF140" s="37">
        <f t="shared" si="106"/>
        <v>0.25184181840939629</v>
      </c>
      <c r="AG140" s="37">
        <f t="shared" si="97"/>
        <v>1.7758804419930378E-2</v>
      </c>
      <c r="AH140" s="37">
        <f t="shared" si="98"/>
        <v>0.44528212148654089</v>
      </c>
      <c r="AI140" s="40">
        <f t="shared" si="107"/>
        <v>0.46304092590647128</v>
      </c>
      <c r="AJ140" s="39">
        <f t="shared" si="108"/>
        <v>4.9259259259259273E-2</v>
      </c>
      <c r="AK140" s="37">
        <f t="shared" si="99"/>
        <v>0.11710406690816816</v>
      </c>
      <c r="AL140" s="37">
        <f t="shared" si="100"/>
        <v>3.5466666666666667E-2</v>
      </c>
      <c r="AM140" s="37">
        <f t="shared" si="101"/>
        <v>0.59752000000000005</v>
      </c>
      <c r="AN140" s="40">
        <f t="shared" si="109"/>
        <v>0.6329866666666667</v>
      </c>
      <c r="AO140" s="39">
        <f t="shared" si="102"/>
        <v>7.6109161799701609E-3</v>
      </c>
      <c r="AP140" s="37">
        <f t="shared" si="103"/>
        <v>4.5441000000000002E-2</v>
      </c>
      <c r="AQ140" s="40">
        <f t="shared" si="104"/>
        <v>1.0800000000000001E-2</v>
      </c>
      <c r="AR140" s="39">
        <f t="shared" si="110"/>
        <v>1.2447309391379107</v>
      </c>
      <c r="AS140" s="37">
        <f t="shared" si="111"/>
        <v>5.9850000000000003</v>
      </c>
      <c r="AT140" s="40">
        <f t="shared" si="112"/>
        <v>82.783163721908366</v>
      </c>
    </row>
    <row r="141" spans="17:46" x14ac:dyDescent="0.25">
      <c r="Q141">
        <v>134</v>
      </c>
      <c r="R141" s="39">
        <f t="shared" si="88"/>
        <v>135</v>
      </c>
      <c r="S141" s="37">
        <f t="shared" si="89"/>
        <v>4.4666666666666674E-2</v>
      </c>
      <c r="T141" s="37">
        <f t="shared" si="90"/>
        <v>24</v>
      </c>
      <c r="U141" s="40">
        <f t="shared" si="91"/>
        <v>0.27916666666666667</v>
      </c>
      <c r="V141" s="39">
        <f t="shared" si="92"/>
        <v>2</v>
      </c>
      <c r="W141" s="37">
        <f t="shared" si="93"/>
        <v>0.82222222222222219</v>
      </c>
      <c r="X141" s="40">
        <f t="shared" si="94"/>
        <v>0.17777777777777781</v>
      </c>
      <c r="Y141" s="39">
        <f t="shared" si="95"/>
        <v>6.5953654188948316E-2</v>
      </c>
      <c r="Z141" s="37">
        <f t="shared" si="71"/>
        <v>0.31214349376114081</v>
      </c>
      <c r="AA141" s="37">
        <f t="shared" si="72"/>
        <v>0.27981514997020929</v>
      </c>
      <c r="AB141" s="37">
        <v>0</v>
      </c>
      <c r="AC141" s="37">
        <f t="shared" si="96"/>
        <v>8.6126169968135796E-2</v>
      </c>
      <c r="AD141" s="40">
        <f t="shared" si="105"/>
        <v>8.6126169968135796E-2</v>
      </c>
      <c r="AE141" s="39">
        <f t="shared" si="113"/>
        <v>0.22953703703703704</v>
      </c>
      <c r="AF141" s="37">
        <f t="shared" si="106"/>
        <v>0.25372650068114577</v>
      </c>
      <c r="AG141" s="37">
        <f t="shared" si="97"/>
        <v>1.8025598401411852E-2</v>
      </c>
      <c r="AH141" s="37">
        <f t="shared" si="98"/>
        <v>0.44863010736237957</v>
      </c>
      <c r="AI141" s="40">
        <f t="shared" si="107"/>
        <v>0.46665570576379145</v>
      </c>
      <c r="AJ141" s="39">
        <f t="shared" si="108"/>
        <v>4.9629629629629642E-2</v>
      </c>
      <c r="AK141" s="37">
        <f t="shared" si="99"/>
        <v>0.11798042636366102</v>
      </c>
      <c r="AL141" s="37">
        <f t="shared" si="100"/>
        <v>3.5733333333333339E-2</v>
      </c>
      <c r="AM141" s="37">
        <f t="shared" si="101"/>
        <v>0.59752000000000005</v>
      </c>
      <c r="AN141" s="40">
        <f t="shared" si="109"/>
        <v>0.63325333333333345</v>
      </c>
      <c r="AO141" s="39">
        <f t="shared" si="102"/>
        <v>7.7252564577479366E-3</v>
      </c>
      <c r="AP141" s="37">
        <f t="shared" si="103"/>
        <v>4.5441000000000002E-2</v>
      </c>
      <c r="AQ141" s="40">
        <f t="shared" si="104"/>
        <v>1.0800000000000001E-2</v>
      </c>
      <c r="AR141" s="39">
        <f t="shared" si="110"/>
        <v>1.2500014655230085</v>
      </c>
      <c r="AS141" s="37">
        <f t="shared" si="111"/>
        <v>6.0300000000000011</v>
      </c>
      <c r="AT141" s="40">
        <f t="shared" si="112"/>
        <v>82.829653655389663</v>
      </c>
    </row>
    <row r="142" spans="17:46" x14ac:dyDescent="0.25">
      <c r="Q142">
        <v>135</v>
      </c>
      <c r="R142" s="39">
        <f t="shared" si="88"/>
        <v>135</v>
      </c>
      <c r="S142" s="37">
        <f t="shared" si="89"/>
        <v>4.5000000000000005E-2</v>
      </c>
      <c r="T142" s="37">
        <f t="shared" si="90"/>
        <v>24</v>
      </c>
      <c r="U142" s="40">
        <f t="shared" si="91"/>
        <v>0.28125000000000006</v>
      </c>
      <c r="V142" s="39">
        <f t="shared" si="92"/>
        <v>2</v>
      </c>
      <c r="W142" s="37">
        <f t="shared" si="93"/>
        <v>0.82222222222222219</v>
      </c>
      <c r="X142" s="40">
        <f t="shared" si="94"/>
        <v>0.17777777777777781</v>
      </c>
      <c r="Y142" s="39">
        <f t="shared" si="95"/>
        <v>6.5953654188948316E-2</v>
      </c>
      <c r="Z142" s="37">
        <f t="shared" si="71"/>
        <v>0.31422682709447419</v>
      </c>
      <c r="AA142" s="37">
        <f t="shared" si="72"/>
        <v>0.2818936907330013</v>
      </c>
      <c r="AB142" s="37">
        <v>0</v>
      </c>
      <c r="AC142" s="37">
        <f t="shared" si="96"/>
        <v>8.7410458162580279E-2</v>
      </c>
      <c r="AD142" s="40">
        <f t="shared" si="105"/>
        <v>8.7410458162580279E-2</v>
      </c>
      <c r="AE142" s="39">
        <f t="shared" si="113"/>
        <v>0.23125000000000004</v>
      </c>
      <c r="AF142" s="37">
        <f t="shared" si="106"/>
        <v>0.25561124807356711</v>
      </c>
      <c r="AG142" s="37">
        <f t="shared" si="97"/>
        <v>1.8294390839683466E-2</v>
      </c>
      <c r="AH142" s="37">
        <f t="shared" si="98"/>
        <v>0.4519780932382183</v>
      </c>
      <c r="AI142" s="40">
        <f t="shared" si="107"/>
        <v>0.47027248407790179</v>
      </c>
      <c r="AJ142" s="39">
        <f t="shared" si="108"/>
        <v>5.0000000000000017E-2</v>
      </c>
      <c r="AK142" s="37">
        <f t="shared" si="99"/>
        <v>0.11885681609965121</v>
      </c>
      <c r="AL142" s="37">
        <f t="shared" si="100"/>
        <v>3.6000000000000004E-2</v>
      </c>
      <c r="AM142" s="37">
        <f t="shared" si="101"/>
        <v>0.59752000000000005</v>
      </c>
      <c r="AN142" s="40">
        <f t="shared" si="109"/>
        <v>0.63352000000000008</v>
      </c>
      <c r="AO142" s="39">
        <f t="shared" si="102"/>
        <v>7.8404532170071994E-3</v>
      </c>
      <c r="AP142" s="37">
        <f t="shared" si="103"/>
        <v>4.5441000000000002E-2</v>
      </c>
      <c r="AQ142" s="40">
        <f t="shared" si="104"/>
        <v>1.0800000000000001E-2</v>
      </c>
      <c r="AR142" s="39">
        <f t="shared" si="110"/>
        <v>1.2552843954574893</v>
      </c>
      <c r="AS142" s="37">
        <f t="shared" si="111"/>
        <v>6.0750000000000011</v>
      </c>
      <c r="AT142" s="40">
        <f t="shared" si="112"/>
        <v>82.875365705655597</v>
      </c>
    </row>
    <row r="143" spans="17:46" x14ac:dyDescent="0.25">
      <c r="Q143">
        <v>136</v>
      </c>
      <c r="R143" s="39">
        <f t="shared" si="88"/>
        <v>135</v>
      </c>
      <c r="S143" s="37">
        <f t="shared" si="89"/>
        <v>4.5333333333333337E-2</v>
      </c>
      <c r="T143" s="37">
        <f t="shared" si="90"/>
        <v>24</v>
      </c>
      <c r="U143" s="40">
        <f t="shared" si="91"/>
        <v>0.28333333333333333</v>
      </c>
      <c r="V143" s="39">
        <f t="shared" si="92"/>
        <v>2</v>
      </c>
      <c r="W143" s="37">
        <f t="shared" si="93"/>
        <v>0.82222222222222219</v>
      </c>
      <c r="X143" s="40">
        <f t="shared" si="94"/>
        <v>0.17777777777777781</v>
      </c>
      <c r="Y143" s="39">
        <f t="shared" si="95"/>
        <v>6.5953654188948316E-2</v>
      </c>
      <c r="Z143" s="37">
        <f t="shared" si="71"/>
        <v>0.31631016042780746</v>
      </c>
      <c r="AA143" s="37">
        <f t="shared" si="72"/>
        <v>0.28397230173531135</v>
      </c>
      <c r="AB143" s="37">
        <v>0</v>
      </c>
      <c r="AC143" s="37">
        <f t="shared" si="96"/>
        <v>8.8704294968135797E-2</v>
      </c>
      <c r="AD143" s="40">
        <f t="shared" si="105"/>
        <v>8.8704294968135797E-2</v>
      </c>
      <c r="AE143" s="39">
        <f t="shared" si="113"/>
        <v>0.23296296296296296</v>
      </c>
      <c r="AF143" s="37">
        <f t="shared" si="106"/>
        <v>0.25749605915670398</v>
      </c>
      <c r="AG143" s="37">
        <f t="shared" si="97"/>
        <v>1.8565181734745185E-2</v>
      </c>
      <c r="AH143" s="37">
        <f t="shared" si="98"/>
        <v>0.45532607911405687</v>
      </c>
      <c r="AI143" s="40">
        <f t="shared" si="107"/>
        <v>0.47389126084880207</v>
      </c>
      <c r="AJ143" s="39">
        <f t="shared" si="108"/>
        <v>5.0370370370370378E-2</v>
      </c>
      <c r="AK143" s="37">
        <f t="shared" si="99"/>
        <v>0.11973323545122259</v>
      </c>
      <c r="AL143" s="37">
        <f t="shared" si="100"/>
        <v>3.6266666666666669E-2</v>
      </c>
      <c r="AM143" s="37">
        <f t="shared" si="101"/>
        <v>0.59752000000000005</v>
      </c>
      <c r="AN143" s="40">
        <f t="shared" si="109"/>
        <v>0.63378666666666672</v>
      </c>
      <c r="AO143" s="39">
        <f t="shared" si="102"/>
        <v>7.9565064577479354E-3</v>
      </c>
      <c r="AP143" s="37">
        <f t="shared" si="103"/>
        <v>4.5441000000000002E-2</v>
      </c>
      <c r="AQ143" s="40">
        <f t="shared" si="104"/>
        <v>1.0800000000000001E-2</v>
      </c>
      <c r="AR143" s="39">
        <f t="shared" si="110"/>
        <v>1.2605797289413525</v>
      </c>
      <c r="AS143" s="37">
        <f t="shared" si="111"/>
        <v>6.12</v>
      </c>
      <c r="AT143" s="40">
        <f t="shared" si="112"/>
        <v>82.920315541091426</v>
      </c>
    </row>
    <row r="144" spans="17:46" x14ac:dyDescent="0.25">
      <c r="Q144">
        <v>137</v>
      </c>
      <c r="R144" s="39">
        <f t="shared" si="88"/>
        <v>135</v>
      </c>
      <c r="S144" s="37">
        <f t="shared" si="89"/>
        <v>4.5666666666666675E-2</v>
      </c>
      <c r="T144" s="37">
        <f t="shared" si="90"/>
        <v>24</v>
      </c>
      <c r="U144" s="40">
        <f t="shared" si="91"/>
        <v>0.28541666666666671</v>
      </c>
      <c r="V144" s="39">
        <f t="shared" si="92"/>
        <v>2</v>
      </c>
      <c r="W144" s="37">
        <f t="shared" si="93"/>
        <v>0.82222222222222219</v>
      </c>
      <c r="X144" s="40">
        <f t="shared" si="94"/>
        <v>0.17777777777777781</v>
      </c>
      <c r="Y144" s="39">
        <f t="shared" si="95"/>
        <v>6.5953654188948316E-2</v>
      </c>
      <c r="Z144" s="37">
        <f t="shared" ref="Z144:Z157" si="114">CHOOSE(V144,Y144,U144+(0.5*Y144))</f>
        <v>0.31839349376114084</v>
      </c>
      <c r="AA144" s="37">
        <f t="shared" ref="AA144:AA157" si="115">CHOOSE(V144,Z144*SQRT((W144+X144)/3),SQRT((U144^2)+((Y144^2)/12)))</f>
        <v>0.28605098144593749</v>
      </c>
      <c r="AB144" s="37">
        <v>0</v>
      </c>
      <c r="AC144" s="37">
        <f t="shared" si="96"/>
        <v>9.0007680384802488E-2</v>
      </c>
      <c r="AD144" s="40">
        <f t="shared" si="105"/>
        <v>9.0007680384802488E-2</v>
      </c>
      <c r="AE144" s="39">
        <f t="shared" si="113"/>
        <v>0.23467592592592595</v>
      </c>
      <c r="AF144" s="37">
        <f t="shared" si="106"/>
        <v>0.25938093254211653</v>
      </c>
      <c r="AG144" s="37">
        <f t="shared" si="97"/>
        <v>1.8837971086597041E-2</v>
      </c>
      <c r="AH144" s="37">
        <f t="shared" si="98"/>
        <v>0.4586740649898956</v>
      </c>
      <c r="AI144" s="40">
        <f t="shared" si="107"/>
        <v>0.47751203607649262</v>
      </c>
      <c r="AJ144" s="39">
        <f t="shared" si="108"/>
        <v>5.074074074074076E-2</v>
      </c>
      <c r="AK144" s="37">
        <f t="shared" si="99"/>
        <v>0.12060968377276371</v>
      </c>
      <c r="AL144" s="37">
        <f t="shared" si="100"/>
        <v>3.6533333333333341E-2</v>
      </c>
      <c r="AM144" s="37">
        <f t="shared" si="101"/>
        <v>0.59752000000000005</v>
      </c>
      <c r="AN144" s="40">
        <f t="shared" si="109"/>
        <v>0.63405333333333336</v>
      </c>
      <c r="AO144" s="39">
        <f t="shared" si="102"/>
        <v>8.0734161799701602E-3</v>
      </c>
      <c r="AP144" s="37">
        <f t="shared" si="103"/>
        <v>4.5441000000000002E-2</v>
      </c>
      <c r="AQ144" s="40">
        <f t="shared" si="104"/>
        <v>1.0800000000000001E-2</v>
      </c>
      <c r="AR144" s="39">
        <f t="shared" si="110"/>
        <v>1.2658874659745984</v>
      </c>
      <c r="AS144" s="37">
        <f t="shared" si="111"/>
        <v>6.1650000000000009</v>
      </c>
      <c r="AT144" s="40">
        <f t="shared" si="112"/>
        <v>82.964518413567831</v>
      </c>
    </row>
    <row r="145" spans="17:46" x14ac:dyDescent="0.25">
      <c r="Q145">
        <v>138</v>
      </c>
      <c r="R145" s="39">
        <f t="shared" si="88"/>
        <v>135</v>
      </c>
      <c r="S145" s="37">
        <f t="shared" si="89"/>
        <v>4.6000000000000006E-2</v>
      </c>
      <c r="T145" s="37">
        <f t="shared" si="90"/>
        <v>24</v>
      </c>
      <c r="U145" s="40">
        <f t="shared" si="91"/>
        <v>0.28750000000000003</v>
      </c>
      <c r="V145" s="39">
        <f t="shared" si="92"/>
        <v>2</v>
      </c>
      <c r="W145" s="37">
        <f t="shared" si="93"/>
        <v>0.82222222222222219</v>
      </c>
      <c r="X145" s="40">
        <f t="shared" si="94"/>
        <v>0.17777777777777781</v>
      </c>
      <c r="Y145" s="39">
        <f t="shared" si="95"/>
        <v>6.5953654188948316E-2</v>
      </c>
      <c r="Z145" s="37">
        <f t="shared" si="114"/>
        <v>0.32047682709447417</v>
      </c>
      <c r="AA145" s="37">
        <f t="shared" si="115"/>
        <v>0.28812972837781414</v>
      </c>
      <c r="AB145" s="37">
        <v>0</v>
      </c>
      <c r="AC145" s="37">
        <f t="shared" si="96"/>
        <v>9.1320614412580256E-2</v>
      </c>
      <c r="AD145" s="40">
        <f t="shared" si="105"/>
        <v>9.1320614412580256E-2</v>
      </c>
      <c r="AE145" s="39">
        <f t="shared" si="113"/>
        <v>0.2363888888888889</v>
      </c>
      <c r="AF145" s="37">
        <f t="shared" si="106"/>
        <v>0.2612658668813862</v>
      </c>
      <c r="AG145" s="37">
        <f t="shared" si="97"/>
        <v>1.9112758895239022E-2</v>
      </c>
      <c r="AH145" s="37">
        <f t="shared" si="98"/>
        <v>0.46202205086573428</v>
      </c>
      <c r="AI145" s="40">
        <f t="shared" si="107"/>
        <v>0.48113480976097328</v>
      </c>
      <c r="AJ145" s="39">
        <f t="shared" si="108"/>
        <v>5.1111111111111128E-2</v>
      </c>
      <c r="AK145" s="37">
        <f t="shared" si="99"/>
        <v>0.12148616043727266</v>
      </c>
      <c r="AL145" s="37">
        <f t="shared" si="100"/>
        <v>3.6800000000000006E-2</v>
      </c>
      <c r="AM145" s="37">
        <f t="shared" si="101"/>
        <v>0.59752000000000005</v>
      </c>
      <c r="AN145" s="40">
        <f t="shared" si="109"/>
        <v>0.63432000000000011</v>
      </c>
      <c r="AO145" s="39">
        <f t="shared" si="102"/>
        <v>8.1911823836738652E-3</v>
      </c>
      <c r="AP145" s="37">
        <f t="shared" si="103"/>
        <v>4.5441000000000002E-2</v>
      </c>
      <c r="AQ145" s="40">
        <f t="shared" si="104"/>
        <v>1.0800000000000001E-2</v>
      </c>
      <c r="AR145" s="39">
        <f t="shared" si="110"/>
        <v>1.2712076065572275</v>
      </c>
      <c r="AS145" s="37">
        <f t="shared" si="111"/>
        <v>6.2100000000000009</v>
      </c>
      <c r="AT145" s="40">
        <f t="shared" si="112"/>
        <v>83.007989172188957</v>
      </c>
    </row>
    <row r="146" spans="17:46" x14ac:dyDescent="0.25">
      <c r="Q146">
        <v>139</v>
      </c>
      <c r="R146" s="39">
        <f t="shared" si="88"/>
        <v>135</v>
      </c>
      <c r="S146" s="37">
        <f t="shared" si="89"/>
        <v>4.6333333333333337E-2</v>
      </c>
      <c r="T146" s="37">
        <f t="shared" si="90"/>
        <v>24</v>
      </c>
      <c r="U146" s="40">
        <f t="shared" si="91"/>
        <v>0.28958333333333336</v>
      </c>
      <c r="V146" s="39">
        <f t="shared" si="92"/>
        <v>2</v>
      </c>
      <c r="W146" s="37">
        <f t="shared" si="93"/>
        <v>0.82222222222222219</v>
      </c>
      <c r="X146" s="40">
        <f t="shared" si="94"/>
        <v>0.17777777777777781</v>
      </c>
      <c r="Y146" s="39">
        <f t="shared" si="95"/>
        <v>6.5953654188948316E-2</v>
      </c>
      <c r="Z146" s="37">
        <f t="shared" si="114"/>
        <v>0.3225601604278075</v>
      </c>
      <c r="AA146" s="37">
        <f t="shared" si="115"/>
        <v>0.29020854108643562</v>
      </c>
      <c r="AB146" s="37">
        <v>0</v>
      </c>
      <c r="AC146" s="37">
        <f t="shared" si="96"/>
        <v>9.2643097051469142E-2</v>
      </c>
      <c r="AD146" s="40">
        <f t="shared" si="105"/>
        <v>9.2643097051469142E-2</v>
      </c>
      <c r="AE146" s="39">
        <f t="shared" si="113"/>
        <v>0.23810185185185187</v>
      </c>
      <c r="AF146" s="37">
        <f t="shared" si="106"/>
        <v>0.26315086086468614</v>
      </c>
      <c r="AG146" s="37">
        <f t="shared" si="97"/>
        <v>1.9389545160671116E-2</v>
      </c>
      <c r="AH146" s="37">
        <f t="shared" si="98"/>
        <v>0.46537003674157285</v>
      </c>
      <c r="AI146" s="40">
        <f t="shared" si="107"/>
        <v>0.48475958190224394</v>
      </c>
      <c r="AJ146" s="39">
        <f t="shared" si="108"/>
        <v>5.1481481481481496E-2</v>
      </c>
      <c r="AK146" s="37">
        <f t="shared" si="99"/>
        <v>0.12236266483569236</v>
      </c>
      <c r="AL146" s="37">
        <f t="shared" si="100"/>
        <v>3.7066666666666671E-2</v>
      </c>
      <c r="AM146" s="37">
        <f t="shared" si="101"/>
        <v>0.59752000000000005</v>
      </c>
      <c r="AN146" s="40">
        <f t="shared" si="109"/>
        <v>0.63458666666666674</v>
      </c>
      <c r="AO146" s="39">
        <f t="shared" si="102"/>
        <v>8.3098050688590486E-3</v>
      </c>
      <c r="AP146" s="37">
        <f t="shared" si="103"/>
        <v>4.5441000000000002E-2</v>
      </c>
      <c r="AQ146" s="40">
        <f t="shared" si="104"/>
        <v>1.0800000000000001E-2</v>
      </c>
      <c r="AR146" s="39">
        <f t="shared" si="110"/>
        <v>1.2765401506892389</v>
      </c>
      <c r="AS146" s="37">
        <f t="shared" si="111"/>
        <v>6.2550000000000008</v>
      </c>
      <c r="AT146" s="40">
        <f t="shared" si="112"/>
        <v>83.050742276499477</v>
      </c>
    </row>
    <row r="147" spans="17:46" x14ac:dyDescent="0.25">
      <c r="Q147">
        <v>140</v>
      </c>
      <c r="R147" s="39">
        <f t="shared" si="88"/>
        <v>135</v>
      </c>
      <c r="S147" s="37">
        <f t="shared" si="89"/>
        <v>4.6666666666666676E-2</v>
      </c>
      <c r="T147" s="37">
        <f t="shared" si="90"/>
        <v>24</v>
      </c>
      <c r="U147" s="40">
        <f t="shared" si="91"/>
        <v>0.29166666666666674</v>
      </c>
      <c r="V147" s="39">
        <f t="shared" si="92"/>
        <v>2</v>
      </c>
      <c r="W147" s="37">
        <f t="shared" si="93"/>
        <v>0.82222222222222219</v>
      </c>
      <c r="X147" s="40">
        <f t="shared" si="94"/>
        <v>0.17777777777777781</v>
      </c>
      <c r="Y147" s="39">
        <f t="shared" si="95"/>
        <v>6.5953654188948316E-2</v>
      </c>
      <c r="Z147" s="37">
        <f t="shared" si="114"/>
        <v>0.32464349376114088</v>
      </c>
      <c r="AA147" s="37">
        <f t="shared" si="115"/>
        <v>0.2922874181683458</v>
      </c>
      <c r="AB147" s="37">
        <v>0</v>
      </c>
      <c r="AC147" s="37">
        <f t="shared" si="96"/>
        <v>9.3975128301469188E-2</v>
      </c>
      <c r="AD147" s="40">
        <f t="shared" si="105"/>
        <v>9.3975128301469188E-2</v>
      </c>
      <c r="AE147" s="39">
        <f t="shared" si="113"/>
        <v>0.23981481481481487</v>
      </c>
      <c r="AF147" s="37">
        <f t="shared" si="106"/>
        <v>0.26503591321941194</v>
      </c>
      <c r="AG147" s="37">
        <f t="shared" si="97"/>
        <v>1.9668329882893344E-2</v>
      </c>
      <c r="AH147" s="37">
        <f t="shared" si="98"/>
        <v>0.46871802261741158</v>
      </c>
      <c r="AI147" s="40">
        <f t="shared" si="107"/>
        <v>0.48838635250030493</v>
      </c>
      <c r="AJ147" s="39">
        <f t="shared" si="108"/>
        <v>5.1851851851851878E-2</v>
      </c>
      <c r="AK147" s="37">
        <f t="shared" si="99"/>
        <v>0.12323919637627376</v>
      </c>
      <c r="AL147" s="37">
        <f t="shared" si="100"/>
        <v>3.7333333333333343E-2</v>
      </c>
      <c r="AM147" s="37">
        <f t="shared" si="101"/>
        <v>0.59752000000000005</v>
      </c>
      <c r="AN147" s="40">
        <f t="shared" si="109"/>
        <v>0.63485333333333338</v>
      </c>
      <c r="AO147" s="39">
        <f t="shared" si="102"/>
        <v>8.4292842355257191E-3</v>
      </c>
      <c r="AP147" s="37">
        <f t="shared" si="103"/>
        <v>4.5441000000000002E-2</v>
      </c>
      <c r="AQ147" s="40">
        <f t="shared" si="104"/>
        <v>1.0800000000000001E-2</v>
      </c>
      <c r="AR147" s="39">
        <f t="shared" si="110"/>
        <v>1.2818850983706331</v>
      </c>
      <c r="AS147" s="37">
        <f t="shared" si="111"/>
        <v>6.3000000000000016</v>
      </c>
      <c r="AT147" s="40">
        <f t="shared" si="112"/>
        <v>83.092791809175353</v>
      </c>
    </row>
    <row r="148" spans="17:46" x14ac:dyDescent="0.25">
      <c r="Q148">
        <v>141</v>
      </c>
      <c r="R148" s="39">
        <f t="shared" si="88"/>
        <v>135</v>
      </c>
      <c r="S148" s="37">
        <f t="shared" si="89"/>
        <v>4.7000000000000007E-2</v>
      </c>
      <c r="T148" s="37">
        <f t="shared" si="90"/>
        <v>24</v>
      </c>
      <c r="U148" s="40">
        <f t="shared" si="91"/>
        <v>0.29375000000000001</v>
      </c>
      <c r="V148" s="39">
        <f t="shared" si="92"/>
        <v>2</v>
      </c>
      <c r="W148" s="37">
        <f t="shared" si="93"/>
        <v>0.82222222222222219</v>
      </c>
      <c r="X148" s="40">
        <f t="shared" si="94"/>
        <v>0.17777777777777781</v>
      </c>
      <c r="Y148" s="39">
        <f t="shared" si="95"/>
        <v>6.5953654188948316E-2</v>
      </c>
      <c r="Z148" s="37">
        <f t="shared" si="114"/>
        <v>0.32672682709447415</v>
      </c>
      <c r="AA148" s="37">
        <f t="shared" si="115"/>
        <v>0.29436635825969137</v>
      </c>
      <c r="AB148" s="37">
        <v>0</v>
      </c>
      <c r="AC148" s="37">
        <f t="shared" si="96"/>
        <v>9.5316708162580269E-2</v>
      </c>
      <c r="AD148" s="40">
        <f t="shared" si="105"/>
        <v>9.5316708162580269E-2</v>
      </c>
      <c r="AE148" s="39">
        <f t="shared" si="113"/>
        <v>0.24152777777777779</v>
      </c>
      <c r="AF148" s="37">
        <f t="shared" si="106"/>
        <v>0.26692102270886958</v>
      </c>
      <c r="AG148" s="37">
        <f t="shared" si="97"/>
        <v>1.9949113061905686E-2</v>
      </c>
      <c r="AH148" s="37">
        <f t="shared" si="98"/>
        <v>0.47206600849325014</v>
      </c>
      <c r="AI148" s="40">
        <f t="shared" si="107"/>
        <v>0.49201512155515581</v>
      </c>
      <c r="AJ148" s="39">
        <f t="shared" si="108"/>
        <v>5.2222222222222232E-2</v>
      </c>
      <c r="AK148" s="37">
        <f t="shared" si="99"/>
        <v>0.12411575448396582</v>
      </c>
      <c r="AL148" s="37">
        <f t="shared" si="100"/>
        <v>3.7600000000000008E-2</v>
      </c>
      <c r="AM148" s="37">
        <f t="shared" si="101"/>
        <v>0.59752000000000005</v>
      </c>
      <c r="AN148" s="40">
        <f t="shared" si="109"/>
        <v>0.63512000000000002</v>
      </c>
      <c r="AO148" s="39">
        <f t="shared" si="102"/>
        <v>8.5496198836738629E-3</v>
      </c>
      <c r="AP148" s="37">
        <f t="shared" si="103"/>
        <v>4.5441000000000002E-2</v>
      </c>
      <c r="AQ148" s="40">
        <f t="shared" si="104"/>
        <v>1.0800000000000001E-2</v>
      </c>
      <c r="AR148" s="39">
        <f t="shared" si="110"/>
        <v>1.2872424496014101</v>
      </c>
      <c r="AS148" s="37">
        <f t="shared" si="111"/>
        <v>6.3450000000000006</v>
      </c>
      <c r="AT148" s="40">
        <f t="shared" si="112"/>
        <v>83.134151488221704</v>
      </c>
    </row>
    <row r="149" spans="17:46" x14ac:dyDescent="0.25">
      <c r="Q149">
        <v>142</v>
      </c>
      <c r="R149" s="39">
        <f t="shared" si="88"/>
        <v>135</v>
      </c>
      <c r="S149" s="37">
        <f t="shared" si="89"/>
        <v>4.7333333333333338E-2</v>
      </c>
      <c r="T149" s="37">
        <f t="shared" si="90"/>
        <v>24</v>
      </c>
      <c r="U149" s="40">
        <f t="shared" si="91"/>
        <v>0.29583333333333334</v>
      </c>
      <c r="V149" s="39">
        <f t="shared" si="92"/>
        <v>2</v>
      </c>
      <c r="W149" s="37">
        <f t="shared" si="93"/>
        <v>0.82222222222222219</v>
      </c>
      <c r="X149" s="40">
        <f t="shared" si="94"/>
        <v>0.17777777777777781</v>
      </c>
      <c r="Y149" s="39">
        <f t="shared" si="95"/>
        <v>6.5953654188948316E-2</v>
      </c>
      <c r="Z149" s="37">
        <f t="shared" si="114"/>
        <v>0.32881016042780747</v>
      </c>
      <c r="AA149" s="37">
        <f t="shared" si="115"/>
        <v>0.2964453600348369</v>
      </c>
      <c r="AB149" s="37">
        <v>0</v>
      </c>
      <c r="AC149" s="37">
        <f t="shared" si="96"/>
        <v>9.6667836634802495E-2</v>
      </c>
      <c r="AD149" s="40">
        <f t="shared" si="105"/>
        <v>9.6667836634802495E-2</v>
      </c>
      <c r="AE149" s="39">
        <f t="shared" si="113"/>
        <v>0.24324074074074073</v>
      </c>
      <c r="AF149" s="37">
        <f t="shared" si="106"/>
        <v>0.26880618813101959</v>
      </c>
      <c r="AG149" s="37">
        <f t="shared" si="97"/>
        <v>2.0231894697708148E-2</v>
      </c>
      <c r="AH149" s="37">
        <f t="shared" si="98"/>
        <v>0.47541399436908877</v>
      </c>
      <c r="AI149" s="40">
        <f t="shared" si="107"/>
        <v>0.49564588906679691</v>
      </c>
      <c r="AJ149" s="39">
        <f t="shared" si="108"/>
        <v>5.25925925925926E-2</v>
      </c>
      <c r="AK149" s="37">
        <f t="shared" si="99"/>
        <v>0.12499233859983157</v>
      </c>
      <c r="AL149" s="37">
        <f t="shared" si="100"/>
        <v>3.7866666666666673E-2</v>
      </c>
      <c r="AM149" s="37">
        <f t="shared" si="101"/>
        <v>0.59752000000000005</v>
      </c>
      <c r="AN149" s="40">
        <f t="shared" si="109"/>
        <v>0.63538666666666677</v>
      </c>
      <c r="AO149" s="39">
        <f t="shared" si="102"/>
        <v>8.670812013303492E-3</v>
      </c>
      <c r="AP149" s="37">
        <f t="shared" si="103"/>
        <v>4.5441000000000002E-2</v>
      </c>
      <c r="AQ149" s="40">
        <f t="shared" si="104"/>
        <v>1.0800000000000001E-2</v>
      </c>
      <c r="AR149" s="39">
        <f t="shared" si="110"/>
        <v>1.2926122043815695</v>
      </c>
      <c r="AS149" s="37">
        <f t="shared" si="111"/>
        <v>6.3900000000000006</v>
      </c>
      <c r="AT149" s="40">
        <f t="shared" si="112"/>
        <v>83.174834678699995</v>
      </c>
    </row>
    <row r="150" spans="17:46" x14ac:dyDescent="0.25">
      <c r="Q150">
        <v>143</v>
      </c>
      <c r="R150" s="39">
        <f t="shared" si="88"/>
        <v>135</v>
      </c>
      <c r="S150" s="37">
        <f t="shared" si="89"/>
        <v>4.766666666666667E-2</v>
      </c>
      <c r="T150" s="37">
        <f t="shared" si="90"/>
        <v>24</v>
      </c>
      <c r="U150" s="40">
        <f t="shared" si="91"/>
        <v>0.29791666666666666</v>
      </c>
      <c r="V150" s="39">
        <f t="shared" si="92"/>
        <v>2</v>
      </c>
      <c r="W150" s="37">
        <f t="shared" si="93"/>
        <v>0.82222222222222219</v>
      </c>
      <c r="X150" s="40">
        <f t="shared" si="94"/>
        <v>0.17777777777777781</v>
      </c>
      <c r="Y150" s="39">
        <f t="shared" si="95"/>
        <v>6.5953654188948316E-2</v>
      </c>
      <c r="Z150" s="37">
        <f t="shared" si="114"/>
        <v>0.3308934937611408</v>
      </c>
      <c r="AA150" s="37">
        <f t="shared" si="115"/>
        <v>0.29852442220503622</v>
      </c>
      <c r="AB150" s="37">
        <v>0</v>
      </c>
      <c r="AC150" s="37">
        <f t="shared" si="96"/>
        <v>9.8028513718135812E-2</v>
      </c>
      <c r="AD150" s="40">
        <f t="shared" si="105"/>
        <v>9.8028513718135812E-2</v>
      </c>
      <c r="AE150" s="39">
        <f t="shared" si="113"/>
        <v>0.2449537037037037</v>
      </c>
      <c r="AF150" s="37">
        <f t="shared" si="106"/>
        <v>0.27069140831727256</v>
      </c>
      <c r="AG150" s="37">
        <f t="shared" si="97"/>
        <v>2.0516674790300747E-2</v>
      </c>
      <c r="AH150" s="37">
        <f t="shared" si="98"/>
        <v>0.47876198024492744</v>
      </c>
      <c r="AI150" s="40">
        <f t="shared" si="107"/>
        <v>0.49927865503522817</v>
      </c>
      <c r="AJ150" s="39">
        <f t="shared" si="108"/>
        <v>5.2962962962962976E-2</v>
      </c>
      <c r="AK150" s="37">
        <f t="shared" si="99"/>
        <v>0.12586894818048791</v>
      </c>
      <c r="AL150" s="37">
        <f t="shared" si="100"/>
        <v>3.8133333333333339E-2</v>
      </c>
      <c r="AM150" s="37">
        <f t="shared" si="101"/>
        <v>0.59752000000000005</v>
      </c>
      <c r="AN150" s="40">
        <f t="shared" si="109"/>
        <v>0.6356533333333334</v>
      </c>
      <c r="AO150" s="39">
        <f t="shared" si="102"/>
        <v>8.7928606244146047E-3</v>
      </c>
      <c r="AP150" s="37">
        <f t="shared" si="103"/>
        <v>4.5441000000000002E-2</v>
      </c>
      <c r="AQ150" s="40">
        <f t="shared" si="104"/>
        <v>1.0800000000000001E-2</v>
      </c>
      <c r="AR150" s="39">
        <f t="shared" si="110"/>
        <v>1.2979943627111119</v>
      </c>
      <c r="AS150" s="37">
        <f t="shared" si="111"/>
        <v>6.4350000000000005</v>
      </c>
      <c r="AT150" s="40">
        <f t="shared" si="112"/>
        <v>83.21485440400545</v>
      </c>
    </row>
    <row r="151" spans="17:46" x14ac:dyDescent="0.25">
      <c r="Q151">
        <v>144</v>
      </c>
      <c r="R151" s="39">
        <f t="shared" si="88"/>
        <v>135</v>
      </c>
      <c r="S151" s="37">
        <f t="shared" si="89"/>
        <v>4.8000000000000008E-2</v>
      </c>
      <c r="T151" s="37">
        <f t="shared" si="90"/>
        <v>24</v>
      </c>
      <c r="U151" s="40">
        <f t="shared" si="91"/>
        <v>0.30000000000000004</v>
      </c>
      <c r="V151" s="39">
        <f t="shared" si="92"/>
        <v>2</v>
      </c>
      <c r="W151" s="37">
        <f t="shared" si="93"/>
        <v>0.82222222222222219</v>
      </c>
      <c r="X151" s="40">
        <f t="shared" si="94"/>
        <v>0.17777777777777781</v>
      </c>
      <c r="Y151" s="39">
        <f t="shared" si="95"/>
        <v>6.5953654188948316E-2</v>
      </c>
      <c r="Z151" s="37">
        <f t="shared" si="114"/>
        <v>0.33297682709447418</v>
      </c>
      <c r="AA151" s="37">
        <f t="shared" si="115"/>
        <v>0.30060354351715979</v>
      </c>
      <c r="AB151" s="37">
        <v>0</v>
      </c>
      <c r="AC151" s="37">
        <f t="shared" si="96"/>
        <v>9.9398739412580275E-2</v>
      </c>
      <c r="AD151" s="40">
        <f t="shared" si="105"/>
        <v>9.9398739412580275E-2</v>
      </c>
      <c r="AE151" s="39">
        <f t="shared" si="113"/>
        <v>0.2466666666666667</v>
      </c>
      <c r="AF151" s="37">
        <f t="shared" si="106"/>
        <v>0.27257668213133462</v>
      </c>
      <c r="AG151" s="37">
        <f t="shared" si="97"/>
        <v>2.0803453339683461E-2</v>
      </c>
      <c r="AH151" s="37">
        <f t="shared" si="98"/>
        <v>0.48210996612076618</v>
      </c>
      <c r="AI151" s="40">
        <f t="shared" si="107"/>
        <v>0.50291341946044965</v>
      </c>
      <c r="AJ151" s="39">
        <f t="shared" si="108"/>
        <v>5.3333333333333351E-2</v>
      </c>
      <c r="AK151" s="37">
        <f t="shared" si="99"/>
        <v>0.12674558269756903</v>
      </c>
      <c r="AL151" s="37">
        <f t="shared" si="100"/>
        <v>3.8400000000000011E-2</v>
      </c>
      <c r="AM151" s="37">
        <f t="shared" si="101"/>
        <v>0.59752000000000005</v>
      </c>
      <c r="AN151" s="40">
        <f t="shared" si="109"/>
        <v>0.63592000000000004</v>
      </c>
      <c r="AO151" s="39">
        <f t="shared" si="102"/>
        <v>8.9157657170071958E-3</v>
      </c>
      <c r="AP151" s="37">
        <f t="shared" si="103"/>
        <v>4.5441000000000002E-2</v>
      </c>
      <c r="AQ151" s="40">
        <f t="shared" si="104"/>
        <v>1.0800000000000001E-2</v>
      </c>
      <c r="AR151" s="39">
        <f t="shared" si="110"/>
        <v>1.3033889245900372</v>
      </c>
      <c r="AS151" s="37">
        <f t="shared" si="111"/>
        <v>6.4800000000000013</v>
      </c>
      <c r="AT151" s="40">
        <f t="shared" si="112"/>
        <v>83.254223356714903</v>
      </c>
    </row>
    <row r="152" spans="17:46" x14ac:dyDescent="0.25">
      <c r="Q152">
        <v>145</v>
      </c>
      <c r="R152" s="39">
        <f t="shared" si="88"/>
        <v>135</v>
      </c>
      <c r="S152" s="37">
        <f t="shared" si="89"/>
        <v>4.8333333333333339E-2</v>
      </c>
      <c r="T152" s="37">
        <f t="shared" si="90"/>
        <v>24</v>
      </c>
      <c r="U152" s="40">
        <f t="shared" si="91"/>
        <v>0.30208333333333331</v>
      </c>
      <c r="V152" s="39">
        <f t="shared" si="92"/>
        <v>2</v>
      </c>
      <c r="W152" s="37">
        <f t="shared" si="93"/>
        <v>0.82222222222222219</v>
      </c>
      <c r="X152" s="40">
        <f t="shared" si="94"/>
        <v>0.17777777777777781</v>
      </c>
      <c r="Y152" s="39">
        <f t="shared" si="95"/>
        <v>6.5953654188948316E-2</v>
      </c>
      <c r="Z152" s="37">
        <f t="shared" si="114"/>
        <v>0.33506016042780745</v>
      </c>
      <c r="AA152" s="37">
        <f t="shared" si="115"/>
        <v>0.30268272275247343</v>
      </c>
      <c r="AB152" s="37">
        <v>0</v>
      </c>
      <c r="AC152" s="37">
        <f t="shared" si="96"/>
        <v>0.10077851371813577</v>
      </c>
      <c r="AD152" s="40">
        <f t="shared" si="105"/>
        <v>0.10077851371813577</v>
      </c>
      <c r="AE152" s="39">
        <f t="shared" si="113"/>
        <v>0.24837962962962962</v>
      </c>
      <c r="AF152" s="37">
        <f t="shared" si="106"/>
        <v>0.27446200846810093</v>
      </c>
      <c r="AG152" s="37">
        <f t="shared" si="97"/>
        <v>2.1092230345856295E-2</v>
      </c>
      <c r="AH152" s="37">
        <f t="shared" si="98"/>
        <v>0.48545795199660474</v>
      </c>
      <c r="AI152" s="40">
        <f t="shared" si="107"/>
        <v>0.50655018234246108</v>
      </c>
      <c r="AJ152" s="39">
        <f t="shared" si="108"/>
        <v>5.3703703703703712E-2</v>
      </c>
      <c r="AK152" s="37">
        <f t="shared" si="99"/>
        <v>0.12762224163721148</v>
      </c>
      <c r="AL152" s="37">
        <f t="shared" si="100"/>
        <v>3.8666666666666676E-2</v>
      </c>
      <c r="AM152" s="37">
        <f t="shared" si="101"/>
        <v>0.59752000000000005</v>
      </c>
      <c r="AN152" s="40">
        <f t="shared" si="109"/>
        <v>0.63618666666666668</v>
      </c>
      <c r="AO152" s="39">
        <f t="shared" si="102"/>
        <v>9.0395272910812688E-3</v>
      </c>
      <c r="AP152" s="37">
        <f t="shared" si="103"/>
        <v>4.5441000000000002E-2</v>
      </c>
      <c r="AQ152" s="40">
        <f t="shared" si="104"/>
        <v>1.0800000000000001E-2</v>
      </c>
      <c r="AR152" s="39">
        <f t="shared" si="110"/>
        <v>1.308795890018345</v>
      </c>
      <c r="AS152" s="37">
        <f t="shared" si="111"/>
        <v>6.5250000000000004</v>
      </c>
      <c r="AT152" s="40">
        <f t="shared" si="112"/>
        <v>83.29295390902405</v>
      </c>
    </row>
    <row r="153" spans="17:46" x14ac:dyDescent="0.25">
      <c r="Q153">
        <v>146</v>
      </c>
      <c r="R153" s="39">
        <f t="shared" si="88"/>
        <v>135</v>
      </c>
      <c r="S153" s="37">
        <f t="shared" si="89"/>
        <v>4.8666666666666671E-2</v>
      </c>
      <c r="T153" s="37">
        <f t="shared" si="90"/>
        <v>24</v>
      </c>
      <c r="U153" s="40">
        <f t="shared" si="91"/>
        <v>0.30416666666666664</v>
      </c>
      <c r="V153" s="39">
        <f t="shared" si="92"/>
        <v>2</v>
      </c>
      <c r="W153" s="37">
        <f t="shared" si="93"/>
        <v>0.82222222222222219</v>
      </c>
      <c r="X153" s="40">
        <f t="shared" si="94"/>
        <v>0.17777777777777781</v>
      </c>
      <c r="Y153" s="39">
        <f t="shared" si="95"/>
        <v>6.5953654188948316E-2</v>
      </c>
      <c r="Z153" s="37">
        <f t="shared" si="114"/>
        <v>0.33714349376114078</v>
      </c>
      <c r="AA153" s="37">
        <f t="shared" si="115"/>
        <v>0.3047619587254683</v>
      </c>
      <c r="AB153" s="37">
        <v>0</v>
      </c>
      <c r="AC153" s="37">
        <f t="shared" si="96"/>
        <v>0.10216783663480244</v>
      </c>
      <c r="AD153" s="40">
        <f t="shared" si="105"/>
        <v>0.10216783663480244</v>
      </c>
      <c r="AE153" s="39">
        <f t="shared" si="113"/>
        <v>0.25009259259259253</v>
      </c>
      <c r="AF153" s="37">
        <f t="shared" si="106"/>
        <v>0.27634738625259364</v>
      </c>
      <c r="AG153" s="37">
        <f t="shared" si="97"/>
        <v>2.1383005808819251E-2</v>
      </c>
      <c r="AH153" s="37">
        <f t="shared" si="98"/>
        <v>0.48880593787244342</v>
      </c>
      <c r="AI153" s="40">
        <f t="shared" si="107"/>
        <v>0.51018894368126266</v>
      </c>
      <c r="AJ153" s="39">
        <f t="shared" si="108"/>
        <v>5.407407407407408E-2</v>
      </c>
      <c r="AK153" s="37">
        <f t="shared" si="99"/>
        <v>0.12849892449956082</v>
      </c>
      <c r="AL153" s="37">
        <f t="shared" si="100"/>
        <v>3.8933333333333341E-2</v>
      </c>
      <c r="AM153" s="37">
        <f t="shared" si="101"/>
        <v>0.59752000000000005</v>
      </c>
      <c r="AN153" s="40">
        <f t="shared" si="109"/>
        <v>0.63645333333333343</v>
      </c>
      <c r="AO153" s="39">
        <f t="shared" si="102"/>
        <v>9.1641453466368202E-3</v>
      </c>
      <c r="AP153" s="37">
        <f t="shared" si="103"/>
        <v>4.5441000000000002E-2</v>
      </c>
      <c r="AQ153" s="40">
        <f t="shared" si="104"/>
        <v>1.0800000000000001E-2</v>
      </c>
      <c r="AR153" s="39">
        <f t="shared" si="110"/>
        <v>1.3142152589960352</v>
      </c>
      <c r="AS153" s="37">
        <f t="shared" si="111"/>
        <v>6.57</v>
      </c>
      <c r="AT153" s="40">
        <f t="shared" si="112"/>
        <v>83.331058122791717</v>
      </c>
    </row>
    <row r="154" spans="17:46" x14ac:dyDescent="0.25">
      <c r="Q154">
        <v>147</v>
      </c>
      <c r="R154" s="39">
        <f t="shared" si="88"/>
        <v>135</v>
      </c>
      <c r="S154" s="37">
        <f t="shared" si="89"/>
        <v>4.9000000000000009E-2</v>
      </c>
      <c r="T154" s="37">
        <f t="shared" si="90"/>
        <v>24</v>
      </c>
      <c r="U154" s="40">
        <f t="shared" si="91"/>
        <v>0.30625000000000002</v>
      </c>
      <c r="V154" s="39">
        <f t="shared" si="92"/>
        <v>2</v>
      </c>
      <c r="W154" s="37">
        <f t="shared" si="93"/>
        <v>0.82222222222222219</v>
      </c>
      <c r="X154" s="40">
        <f t="shared" si="94"/>
        <v>0.17777777777777781</v>
      </c>
      <c r="Y154" s="39">
        <f t="shared" si="95"/>
        <v>6.5953654188948316E-2</v>
      </c>
      <c r="Z154" s="37">
        <f t="shared" si="114"/>
        <v>0.33922682709447416</v>
      </c>
      <c r="AA154" s="37">
        <f t="shared" si="115"/>
        <v>0.30684125028273657</v>
      </c>
      <c r="AB154" s="37">
        <v>0</v>
      </c>
      <c r="AC154" s="37">
        <f t="shared" si="96"/>
        <v>0.10356670816258029</v>
      </c>
      <c r="AD154" s="40">
        <f t="shared" si="105"/>
        <v>0.10356670816258029</v>
      </c>
      <c r="AE154" s="39">
        <f t="shared" si="113"/>
        <v>0.25180555555555556</v>
      </c>
      <c r="AF154" s="37">
        <f t="shared" si="106"/>
        <v>0.27823281443894343</v>
      </c>
      <c r="AG154" s="37">
        <f t="shared" si="97"/>
        <v>2.1675779728572351E-2</v>
      </c>
      <c r="AH154" s="37">
        <f t="shared" si="98"/>
        <v>0.49215392374828204</v>
      </c>
      <c r="AI154" s="40">
        <f t="shared" si="107"/>
        <v>0.51382970347685442</v>
      </c>
      <c r="AJ154" s="39">
        <f t="shared" si="108"/>
        <v>5.4444444444444462E-2</v>
      </c>
      <c r="AK154" s="37">
        <f t="shared" si="99"/>
        <v>0.12937563079829761</v>
      </c>
      <c r="AL154" s="37">
        <f t="shared" si="100"/>
        <v>3.9200000000000013E-2</v>
      </c>
      <c r="AM154" s="37">
        <f t="shared" si="101"/>
        <v>0.59752000000000005</v>
      </c>
      <c r="AN154" s="40">
        <f t="shared" si="109"/>
        <v>0.63672000000000006</v>
      </c>
      <c r="AO154" s="39">
        <f t="shared" si="102"/>
        <v>9.2896198836738639E-3</v>
      </c>
      <c r="AP154" s="37">
        <f t="shared" si="103"/>
        <v>4.5441000000000002E-2</v>
      </c>
      <c r="AQ154" s="40">
        <f t="shared" si="104"/>
        <v>1.0800000000000001E-2</v>
      </c>
      <c r="AR154" s="39">
        <f t="shared" si="110"/>
        <v>1.3196470315231088</v>
      </c>
      <c r="AS154" s="37">
        <f t="shared" si="111"/>
        <v>6.6150000000000011</v>
      </c>
      <c r="AT154" s="40">
        <f t="shared" si="112"/>
        <v>83.36854775920898</v>
      </c>
    </row>
    <row r="155" spans="17:46" x14ac:dyDescent="0.25">
      <c r="Q155">
        <v>148</v>
      </c>
      <c r="R155" s="39">
        <f t="shared" si="88"/>
        <v>135</v>
      </c>
      <c r="S155" s="37">
        <f t="shared" si="89"/>
        <v>4.933333333333334E-2</v>
      </c>
      <c r="T155" s="37">
        <f t="shared" si="90"/>
        <v>24</v>
      </c>
      <c r="U155" s="40">
        <f t="shared" si="91"/>
        <v>0.30833333333333335</v>
      </c>
      <c r="V155" s="39">
        <f t="shared" si="92"/>
        <v>2</v>
      </c>
      <c r="W155" s="37">
        <f t="shared" si="93"/>
        <v>0.82222222222222219</v>
      </c>
      <c r="X155" s="40">
        <f t="shared" si="94"/>
        <v>0.17777777777777781</v>
      </c>
      <c r="Y155" s="39">
        <f t="shared" si="95"/>
        <v>6.5953654188948316E-2</v>
      </c>
      <c r="Z155" s="37">
        <f t="shared" si="114"/>
        <v>0.34131016042780749</v>
      </c>
      <c r="AA155" s="37">
        <f t="shared" si="115"/>
        <v>0.30892059630189345</v>
      </c>
      <c r="AB155" s="37">
        <v>0</v>
      </c>
      <c r="AC155" s="37">
        <f t="shared" si="96"/>
        <v>0.10497512830146917</v>
      </c>
      <c r="AD155" s="40">
        <f t="shared" si="105"/>
        <v>0.10497512830146917</v>
      </c>
      <c r="AE155" s="39">
        <f t="shared" si="113"/>
        <v>0.25351851851851853</v>
      </c>
      <c r="AF155" s="37">
        <f t="shared" si="106"/>
        <v>0.28011829200941135</v>
      </c>
      <c r="AG155" s="37">
        <f t="shared" si="97"/>
        <v>2.1970552105115556E-2</v>
      </c>
      <c r="AH155" s="37">
        <f t="shared" si="98"/>
        <v>0.49550190962412072</v>
      </c>
      <c r="AI155" s="40">
        <f t="shared" si="107"/>
        <v>0.51747246172923622</v>
      </c>
      <c r="AJ155" s="39">
        <f t="shared" si="108"/>
        <v>5.481481481481483E-2</v>
      </c>
      <c r="AK155" s="37">
        <f t="shared" si="99"/>
        <v>0.13025236006018293</v>
      </c>
      <c r="AL155" s="37">
        <f t="shared" si="100"/>
        <v>3.9466666666666678E-2</v>
      </c>
      <c r="AM155" s="37">
        <f t="shared" si="101"/>
        <v>0.59752000000000005</v>
      </c>
      <c r="AN155" s="40">
        <f t="shared" si="109"/>
        <v>0.6369866666666667</v>
      </c>
      <c r="AO155" s="39">
        <f t="shared" si="102"/>
        <v>9.4159509021923809E-3</v>
      </c>
      <c r="AP155" s="37">
        <f t="shared" si="103"/>
        <v>4.5441000000000002E-2</v>
      </c>
      <c r="AQ155" s="40">
        <f t="shared" si="104"/>
        <v>1.0800000000000001E-2</v>
      </c>
      <c r="AR155" s="39">
        <f t="shared" si="110"/>
        <v>1.3250912075995644</v>
      </c>
      <c r="AS155" s="37">
        <f t="shared" si="111"/>
        <v>6.660000000000001</v>
      </c>
      <c r="AT155" s="40">
        <f t="shared" si="112"/>
        <v>83.405434288108694</v>
      </c>
    </row>
    <row r="156" spans="17:46" x14ac:dyDescent="0.25">
      <c r="Q156">
        <v>149</v>
      </c>
      <c r="R156" s="39">
        <f t="shared" si="88"/>
        <v>135</v>
      </c>
      <c r="S156" s="37">
        <f t="shared" si="89"/>
        <v>4.9666666666666671E-2</v>
      </c>
      <c r="T156" s="37">
        <f t="shared" si="90"/>
        <v>24</v>
      </c>
      <c r="U156" s="40">
        <f t="shared" si="91"/>
        <v>0.31041666666666667</v>
      </c>
      <c r="V156" s="39">
        <f t="shared" si="92"/>
        <v>2</v>
      </c>
      <c r="W156" s="37">
        <f t="shared" si="93"/>
        <v>0.82222222222222219</v>
      </c>
      <c r="X156" s="40">
        <f t="shared" si="94"/>
        <v>0.17777777777777781</v>
      </c>
      <c r="Y156" s="39">
        <f t="shared" si="95"/>
        <v>6.5953654188948316E-2</v>
      </c>
      <c r="Z156" s="37">
        <f t="shared" si="114"/>
        <v>0.34339349376114081</v>
      </c>
      <c r="AA156" s="37">
        <f t="shared" si="115"/>
        <v>0.31099999569054243</v>
      </c>
      <c r="AB156" s="37">
        <v>0</v>
      </c>
      <c r="AC156" s="37">
        <f t="shared" si="96"/>
        <v>0.10639309705146917</v>
      </c>
      <c r="AD156" s="40">
        <f t="shared" si="105"/>
        <v>0.10639309705146917</v>
      </c>
      <c r="AE156" s="39">
        <f t="shared" si="113"/>
        <v>0.2552314814814815</v>
      </c>
      <c r="AF156" s="37">
        <f t="shared" si="106"/>
        <v>0.28200381797345081</v>
      </c>
      <c r="AG156" s="37">
        <f t="shared" si="97"/>
        <v>2.2267322938448891E-2</v>
      </c>
      <c r="AH156" s="37">
        <f t="shared" si="98"/>
        <v>0.49884989549995934</v>
      </c>
      <c r="AI156" s="40">
        <f t="shared" si="107"/>
        <v>0.52111721843840819</v>
      </c>
      <c r="AJ156" s="39">
        <f t="shared" si="108"/>
        <v>5.5185185185185198E-2</v>
      </c>
      <c r="AK156" s="37">
        <f t="shared" si="99"/>
        <v>0.13112911182462192</v>
      </c>
      <c r="AL156" s="37">
        <f t="shared" si="100"/>
        <v>3.9733333333333343E-2</v>
      </c>
      <c r="AM156" s="37">
        <f t="shared" si="101"/>
        <v>0.59752000000000005</v>
      </c>
      <c r="AN156" s="40">
        <f t="shared" si="109"/>
        <v>0.63725333333333345</v>
      </c>
      <c r="AO156" s="39">
        <f t="shared" si="102"/>
        <v>9.5431384021923815E-3</v>
      </c>
      <c r="AP156" s="37">
        <f t="shared" si="103"/>
        <v>4.5441000000000002E-2</v>
      </c>
      <c r="AQ156" s="40">
        <f t="shared" si="104"/>
        <v>1.0800000000000001E-2</v>
      </c>
      <c r="AR156" s="39">
        <f t="shared" si="110"/>
        <v>1.3305477872254032</v>
      </c>
      <c r="AS156" s="37">
        <f t="shared" si="111"/>
        <v>6.705000000000001</v>
      </c>
      <c r="AT156" s="40">
        <f t="shared" si="112"/>
        <v>83.441728896931508</v>
      </c>
    </row>
    <row r="157" spans="17:46" ht="15.75" thickBot="1" x14ac:dyDescent="0.3">
      <c r="Q157">
        <v>150</v>
      </c>
      <c r="R157" s="41">
        <f t="shared" si="88"/>
        <v>135</v>
      </c>
      <c r="S157" s="42">
        <f t="shared" si="89"/>
        <v>5.000000000000001E-2</v>
      </c>
      <c r="T157" s="42">
        <f t="shared" si="90"/>
        <v>24</v>
      </c>
      <c r="U157" s="43">
        <f t="shared" si="91"/>
        <v>0.3125</v>
      </c>
      <c r="V157" s="41">
        <f t="shared" si="92"/>
        <v>2</v>
      </c>
      <c r="W157" s="42">
        <f t="shared" si="93"/>
        <v>0.82222222222222219</v>
      </c>
      <c r="X157" s="43">
        <f t="shared" si="94"/>
        <v>0.17777777777777781</v>
      </c>
      <c r="Y157" s="41">
        <f t="shared" si="95"/>
        <v>6.5953654188948316E-2</v>
      </c>
      <c r="Z157" s="42">
        <f t="shared" si="114"/>
        <v>0.34547682709447414</v>
      </c>
      <c r="AA157" s="42">
        <f t="shared" si="115"/>
        <v>0.31307944738528104</v>
      </c>
      <c r="AB157" s="42">
        <v>0</v>
      </c>
      <c r="AC157" s="42">
        <f t="shared" si="96"/>
        <v>0.10782061441258027</v>
      </c>
      <c r="AD157" s="43">
        <f t="shared" si="105"/>
        <v>0.10782061441258027</v>
      </c>
      <c r="AE157" s="41">
        <f t="shared" si="113"/>
        <v>0.25694444444444442</v>
      </c>
      <c r="AF157" s="37">
        <f t="shared" si="106"/>
        <v>0.28388939136680597</v>
      </c>
      <c r="AG157" s="42">
        <f t="shared" si="97"/>
        <v>2.2566092228572348E-2</v>
      </c>
      <c r="AH157" s="42">
        <f t="shared" si="98"/>
        <v>0.50219788137579802</v>
      </c>
      <c r="AI157" s="43">
        <f t="shared" si="107"/>
        <v>0.52476397360437033</v>
      </c>
      <c r="AJ157" s="41">
        <f>X157*U157</f>
        <v>5.5555555555555566E-2</v>
      </c>
      <c r="AK157" s="42">
        <f t="shared" si="99"/>
        <v>0.13200588564324475</v>
      </c>
      <c r="AL157" s="42">
        <f t="shared" si="100"/>
        <v>4.0000000000000008E-2</v>
      </c>
      <c r="AM157" s="42">
        <f t="shared" si="101"/>
        <v>0.59752000000000005</v>
      </c>
      <c r="AN157" s="43">
        <f t="shared" si="109"/>
        <v>0.63752000000000009</v>
      </c>
      <c r="AO157" s="41">
        <f t="shared" si="102"/>
        <v>9.6711823836738622E-3</v>
      </c>
      <c r="AP157" s="42">
        <f t="shared" si="103"/>
        <v>4.5441000000000002E-2</v>
      </c>
      <c r="AQ157" s="43">
        <f t="shared" si="104"/>
        <v>1.0800000000000001E-2</v>
      </c>
      <c r="AR157" s="41">
        <f t="shared" si="110"/>
        <v>1.3360167704006245</v>
      </c>
      <c r="AS157" s="42">
        <f t="shared" si="111"/>
        <v>6.7500000000000009</v>
      </c>
      <c r="AT157" s="43">
        <f>(AS157/(AS157+AR157))*100</f>
        <v>83.477442499362624</v>
      </c>
    </row>
  </sheetData>
  <mergeCells count="7">
    <mergeCell ref="AO5:AQ5"/>
    <mergeCell ref="A1:M1"/>
    <mergeCell ref="R5:U5"/>
    <mergeCell ref="V5:X5"/>
    <mergeCell ref="Y5:AD5"/>
    <mergeCell ref="AE5:AI5"/>
    <mergeCell ref="AJ5:AN5"/>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708"/>
  <sheetViews>
    <sheetView topLeftCell="R1" zoomScale="80" zoomScaleNormal="80" workbookViewId="0">
      <selection activeCell="AY19" sqref="AY19:AY559"/>
    </sheetView>
  </sheetViews>
  <sheetFormatPr defaultColWidth="9.140625" defaultRowHeight="15" x14ac:dyDescent="0.25"/>
  <cols>
    <col min="1" max="1" width="13.140625" style="98" customWidth="1"/>
    <col min="2" max="2" width="25" style="98" customWidth="1"/>
    <col min="3" max="7" width="9.140625" style="98"/>
    <col min="8" max="10" width="8.85546875" style="98"/>
    <col min="11" max="11" width="12" style="98" bestFit="1" customWidth="1"/>
    <col min="12" max="14" width="9.140625" style="98"/>
    <col min="15" max="15" width="16.7109375" style="199" bestFit="1" customWidth="1"/>
    <col min="16" max="16" width="16.7109375" style="98" customWidth="1"/>
    <col min="17" max="25" width="9.140625" style="98"/>
    <col min="26" max="26" width="8.42578125" style="98" customWidth="1"/>
    <col min="27" max="28" width="9.140625" style="98"/>
    <col min="29" max="29" width="8.85546875" style="98"/>
    <col min="30" max="32" width="9.140625" style="98"/>
    <col min="33" max="33" width="10.140625" style="98" customWidth="1"/>
    <col min="34" max="34" width="12" style="98" bestFit="1" customWidth="1"/>
    <col min="35" max="41" width="9.140625" style="98"/>
    <col min="42" max="42" width="8.85546875" style="98"/>
    <col min="43" max="44" width="9.140625" style="98"/>
    <col min="45" max="45" width="8.85546875" style="98" customWidth="1"/>
    <col min="46" max="47" width="9.140625" style="98"/>
    <col min="48" max="48" width="11.85546875" style="98" bestFit="1" customWidth="1"/>
    <col min="49" max="16384" width="9.140625" style="98"/>
  </cols>
  <sheetData>
    <row r="1" spans="1:51" ht="27.75" x14ac:dyDescent="0.4">
      <c r="A1" s="237" t="s">
        <v>15</v>
      </c>
      <c r="B1" s="237"/>
      <c r="C1" s="237"/>
      <c r="D1" s="237"/>
      <c r="E1" s="237"/>
      <c r="F1" s="237"/>
      <c r="G1" s="237"/>
      <c r="H1" s="237"/>
      <c r="I1" s="237"/>
      <c r="J1" s="237"/>
      <c r="K1" s="237"/>
      <c r="L1" s="237"/>
      <c r="M1" s="237"/>
      <c r="N1" s="237" t="s">
        <v>229</v>
      </c>
      <c r="O1" s="237"/>
      <c r="P1" s="237"/>
      <c r="Q1" s="237"/>
      <c r="R1" s="237"/>
      <c r="S1" s="237"/>
      <c r="T1" s="237"/>
      <c r="U1" s="237"/>
      <c r="V1" s="237"/>
      <c r="W1" s="237"/>
      <c r="X1" s="237"/>
    </row>
    <row r="2" spans="1:51" x14ac:dyDescent="0.25">
      <c r="A2" s="158"/>
      <c r="B2" s="158" t="s">
        <v>16</v>
      </c>
      <c r="C2" s="159"/>
      <c r="D2" s="160"/>
      <c r="E2" s="158"/>
      <c r="F2" s="158"/>
      <c r="G2" s="158"/>
      <c r="H2" s="158"/>
      <c r="I2" s="158"/>
      <c r="J2" s="158"/>
      <c r="K2" s="158"/>
      <c r="L2" s="158"/>
      <c r="M2" s="158"/>
      <c r="O2" s="98"/>
    </row>
    <row r="3" spans="1:51" ht="15.75" thickBot="1" x14ac:dyDescent="0.3">
      <c r="A3" s="158"/>
      <c r="B3" s="158" t="s">
        <v>17</v>
      </c>
      <c r="C3" s="161"/>
      <c r="D3" s="160"/>
      <c r="E3" s="158"/>
      <c r="F3" s="162"/>
      <c r="G3" s="163"/>
      <c r="H3" s="163"/>
      <c r="I3" s="163"/>
      <c r="J3" s="163"/>
      <c r="K3" s="164"/>
      <c r="L3" s="158"/>
      <c r="M3" s="158"/>
      <c r="O3" s="98"/>
    </row>
    <row r="4" spans="1:51" ht="15.75" thickBot="1" x14ac:dyDescent="0.3">
      <c r="A4" s="158"/>
      <c r="B4" s="158" t="s">
        <v>18</v>
      </c>
      <c r="C4" s="165"/>
      <c r="D4" s="160"/>
      <c r="E4" s="158"/>
      <c r="F4" s="162"/>
      <c r="G4" s="163"/>
      <c r="H4" s="163"/>
      <c r="I4" s="163"/>
      <c r="J4" s="163"/>
      <c r="K4" s="164"/>
      <c r="L4" s="158"/>
      <c r="M4" s="158"/>
      <c r="N4" s="166"/>
      <c r="O4" s="167"/>
      <c r="P4" s="241" t="s">
        <v>260</v>
      </c>
      <c r="Q4" s="241"/>
      <c r="R4" s="241"/>
      <c r="S4" s="241"/>
      <c r="T4" s="241"/>
      <c r="U4" s="241"/>
      <c r="V4" s="241"/>
      <c r="W4" s="241"/>
      <c r="X4" s="241"/>
      <c r="Y4" s="241"/>
      <c r="Z4" s="241"/>
      <c r="AA4" s="241"/>
      <c r="AB4" s="241"/>
      <c r="AC4" s="241"/>
      <c r="AD4" s="241"/>
      <c r="AE4" s="242"/>
      <c r="AF4" s="243" t="s">
        <v>261</v>
      </c>
      <c r="AG4" s="241"/>
      <c r="AH4" s="241"/>
      <c r="AI4" s="241"/>
      <c r="AJ4" s="241"/>
      <c r="AK4" s="241"/>
      <c r="AL4" s="241"/>
      <c r="AM4" s="241"/>
      <c r="AN4" s="241"/>
      <c r="AO4" s="241"/>
      <c r="AP4" s="241"/>
      <c r="AQ4" s="241"/>
      <c r="AR4" s="242"/>
      <c r="AS4" s="243" t="s">
        <v>272</v>
      </c>
      <c r="AT4" s="241"/>
      <c r="AU4" s="242"/>
    </row>
    <row r="5" spans="1:51" x14ac:dyDescent="0.25">
      <c r="A5" s="158"/>
      <c r="D5" s="160"/>
      <c r="E5" s="158"/>
      <c r="F5" s="158"/>
      <c r="G5" s="158"/>
      <c r="H5" s="158"/>
      <c r="I5" s="158"/>
      <c r="J5" s="158"/>
      <c r="K5" s="158"/>
      <c r="L5" s="158"/>
      <c r="M5" s="158"/>
      <c r="N5" s="168"/>
      <c r="O5" s="169"/>
      <c r="Q5" s="239" t="s">
        <v>252</v>
      </c>
      <c r="R5" s="239"/>
      <c r="S5" s="239"/>
      <c r="T5" s="240" t="s">
        <v>254</v>
      </c>
      <c r="U5" s="240"/>
      <c r="V5" s="240"/>
      <c r="W5" s="240" t="s">
        <v>253</v>
      </c>
      <c r="X5" s="240"/>
      <c r="Y5" s="240"/>
      <c r="Z5" s="240" t="s">
        <v>257</v>
      </c>
      <c r="AA5" s="240"/>
      <c r="AB5" s="240"/>
      <c r="AC5" s="244" t="s">
        <v>259</v>
      </c>
      <c r="AD5" s="240"/>
      <c r="AE5" s="245"/>
      <c r="AG5" s="240" t="s">
        <v>268</v>
      </c>
      <c r="AH5" s="240"/>
      <c r="AI5" s="240"/>
      <c r="AJ5" s="240" t="s">
        <v>269</v>
      </c>
      <c r="AK5" s="240"/>
      <c r="AL5" s="240"/>
      <c r="AM5" s="240" t="s">
        <v>263</v>
      </c>
      <c r="AN5" s="240"/>
      <c r="AO5" s="240"/>
      <c r="AP5" s="244" t="s">
        <v>259</v>
      </c>
      <c r="AQ5" s="240"/>
      <c r="AR5" s="245"/>
      <c r="AS5" s="244" t="s">
        <v>259</v>
      </c>
      <c r="AT5" s="240"/>
      <c r="AU5" s="245"/>
      <c r="AV5" s="223"/>
    </row>
    <row r="6" spans="1:51" ht="15.75" thickBot="1" x14ac:dyDescent="0.3">
      <c r="A6" s="170" t="s">
        <v>19</v>
      </c>
      <c r="B6" s="170" t="s">
        <v>20</v>
      </c>
      <c r="C6" s="170" t="s">
        <v>21</v>
      </c>
      <c r="D6" s="160"/>
      <c r="E6" s="238" t="s">
        <v>22</v>
      </c>
      <c r="F6" s="238"/>
      <c r="G6" s="238"/>
      <c r="H6" s="238"/>
      <c r="I6" s="238"/>
      <c r="J6" s="238"/>
      <c r="K6" s="238"/>
      <c r="L6" s="158"/>
      <c r="M6" s="170"/>
      <c r="N6" s="168"/>
      <c r="O6" s="169"/>
      <c r="P6" s="160" t="s">
        <v>235</v>
      </c>
      <c r="Q6" s="98" t="s">
        <v>258</v>
      </c>
      <c r="R6" s="160" t="s">
        <v>255</v>
      </c>
      <c r="S6" s="160" t="s">
        <v>256</v>
      </c>
      <c r="T6" s="160" t="s">
        <v>258</v>
      </c>
      <c r="U6" s="160" t="s">
        <v>255</v>
      </c>
      <c r="V6" s="160" t="s">
        <v>256</v>
      </c>
      <c r="W6" s="160" t="s">
        <v>258</v>
      </c>
      <c r="X6" s="160" t="s">
        <v>255</v>
      </c>
      <c r="Y6" s="160" t="s">
        <v>256</v>
      </c>
      <c r="Z6" s="160" t="s">
        <v>258</v>
      </c>
      <c r="AA6" s="160" t="s">
        <v>255</v>
      </c>
      <c r="AB6" s="160" t="s">
        <v>256</v>
      </c>
      <c r="AC6" s="171" t="s">
        <v>273</v>
      </c>
      <c r="AD6" s="160" t="s">
        <v>255</v>
      </c>
      <c r="AE6" s="172" t="s">
        <v>256</v>
      </c>
      <c r="AF6" s="160" t="s">
        <v>270</v>
      </c>
      <c r="AG6" s="160" t="s">
        <v>258</v>
      </c>
      <c r="AH6" s="160" t="s">
        <v>271</v>
      </c>
      <c r="AI6" s="160" t="s">
        <v>256</v>
      </c>
      <c r="AJ6" s="160" t="s">
        <v>258</v>
      </c>
      <c r="AK6" s="160" t="s">
        <v>271</v>
      </c>
      <c r="AL6" s="160" t="s">
        <v>256</v>
      </c>
      <c r="AM6" s="160" t="s">
        <v>258</v>
      </c>
      <c r="AN6" s="160" t="s">
        <v>271</v>
      </c>
      <c r="AO6" s="160" t="s">
        <v>256</v>
      </c>
      <c r="AP6" s="171" t="s">
        <v>273</v>
      </c>
      <c r="AQ6" s="160" t="s">
        <v>255</v>
      </c>
      <c r="AR6" s="172" t="s">
        <v>256</v>
      </c>
      <c r="AS6" s="171" t="s">
        <v>273</v>
      </c>
      <c r="AT6" s="160" t="s">
        <v>255</v>
      </c>
      <c r="AU6" s="172" t="s">
        <v>256</v>
      </c>
      <c r="AV6" s="224"/>
    </row>
    <row r="7" spans="1:51" ht="15.75" thickBot="1" x14ac:dyDescent="0.3">
      <c r="A7" s="170"/>
      <c r="B7" s="170"/>
      <c r="C7" s="170"/>
      <c r="D7" s="160"/>
      <c r="E7" s="158"/>
      <c r="F7" s="158"/>
      <c r="G7" s="158"/>
      <c r="H7" s="158"/>
      <c r="I7" s="158"/>
      <c r="J7" s="158"/>
      <c r="K7" s="158"/>
      <c r="L7" s="158"/>
      <c r="M7" s="170"/>
      <c r="N7" s="98" t="s">
        <v>469</v>
      </c>
      <c r="O7" s="167">
        <f>fcross</f>
        <v>2000</v>
      </c>
      <c r="P7" s="173" t="str">
        <f>COMPLEX(ADC_VINmin,0)</f>
        <v>261</v>
      </c>
      <c r="Q7" s="174" t="e">
        <f>IMSUM(COMPLEX(1,0),IMDIV(COMPLEX(0,2*PI()*O7),COMPLEX(wp_lf_VINmin,0)))</f>
        <v>#DIV/0!</v>
      </c>
      <c r="R7" s="174" t="e">
        <f t="shared" ref="R7:R13" si="0">IMABS(Q7)</f>
        <v>#DIV/0!</v>
      </c>
      <c r="S7" s="174" t="e">
        <f t="shared" ref="S7:S13" si="1">IMARGUMENT(Q7)</f>
        <v>#DIV/0!</v>
      </c>
      <c r="T7" s="174" t="e">
        <f>IMSUM(COMPLEX(1,0),IMDIV(COMPLEX(0,2*PI()*O7),COMPLEX(wz_esr_VINmin,0)))</f>
        <v>#DIV/0!</v>
      </c>
      <c r="U7" s="174" t="e">
        <f t="shared" ref="U7:U13" si="2">IMABS(T7)</f>
        <v>#DIV/0!</v>
      </c>
      <c r="V7" s="174" t="e">
        <f t="shared" ref="V7:V13" si="3">IMARGUMENT(T7)</f>
        <v>#DIV/0!</v>
      </c>
      <c r="W7" s="175" t="str">
        <f>IMSUB(COMPLEX(1,0),IMDIV(COMPLEX(0,2*PI()*O7),COMPLEX(wz_RHP_VINmin,0)))</f>
        <v>1-0.123627488682932i</v>
      </c>
      <c r="X7" s="174">
        <f t="shared" ref="X7:X13" si="4">IMABS(W7)</f>
        <v>1.0076128998569087</v>
      </c>
      <c r="Y7" s="174">
        <f t="shared" ref="Y7:Y13" si="5">IMARGUMENT(W7)</f>
        <v>-0.12300337128912391</v>
      </c>
      <c r="Z7" s="175" t="str">
        <f t="shared" ref="Z7:Z13" si="6">IF(Dc_Mode_Loop="CCM",IMSUM(COMPLEX(1,0),IMDIV(COMPLEX(0,2*PI()*O7),COMPLEX(Q*(wsl/2),0)),IMDIV(IMPOWER(COMPLEX(0,2*PI()*O7),2),IMPOWER(COMPLEX(wsl/2,0),2))),COMPLEX(1,0))</f>
        <v>0.999917355371901+0.0118911714821574i</v>
      </c>
      <c r="AA7" s="174">
        <f t="shared" ref="AA7:AA13" si="7">IMABS(Z7)</f>
        <v>0.99998805869527985</v>
      </c>
      <c r="AB7" s="174">
        <f t="shared" ref="AB7:AB13" si="8">IMARGUMENT(Z7)</f>
        <v>1.1891593743022247E-2</v>
      </c>
      <c r="AC7" s="176" t="e">
        <f t="shared" ref="AC7:AC13" si="9">(IMDIV(IMPRODUCT(P7,T7,W7),IMPRODUCT(Q7,Z7)))</f>
        <v>#DIV/0!</v>
      </c>
      <c r="AD7" s="177" t="e">
        <f t="shared" ref="AD7:AD13" si="10">20*LOG(IMABS(AC7))</f>
        <v>#DIV/0!</v>
      </c>
      <c r="AE7" s="167" t="e">
        <f t="shared" ref="AE7:AE13" si="11">(180/PI())*IMARGUMENT(AC7)</f>
        <v>#DIV/0!</v>
      </c>
      <c r="AF7" s="175" t="str">
        <f t="shared" ref="AF7:AF13" si="12">COMPLEX(Adc_ea,0)</f>
        <v>-0.0000182926829268293</v>
      </c>
      <c r="AG7" s="175" t="str">
        <f t="shared" ref="AG7:AG13" si="13">COMPLEX(0,2*PI()*O7*wp0_ea)</f>
        <v>0.000279224755051061i</v>
      </c>
      <c r="AH7" s="175">
        <f t="shared" ref="AH7:AH13" si="14">IMABS(AG7)</f>
        <v>2.7922475505106102E-4</v>
      </c>
      <c r="AI7" s="175">
        <f t="shared" ref="AI7:AI13" si="15">IMARGUMENT(AG7)</f>
        <v>1.5707963267948966</v>
      </c>
      <c r="AJ7" s="175" t="str">
        <f t="shared" ref="AJ7:AJ13" si="16">IMSUM(COMPLEX(1,0),IMDIV(COMPLEX(0,2*PI()*O7),COMPLEX(wp1_ea,0)))</f>
        <v>1+0.0273722924273171i</v>
      </c>
      <c r="AK7" s="175">
        <f t="shared" ref="AK7:AK13" si="17">IMABS(AJ7)</f>
        <v>1.000374551052118</v>
      </c>
      <c r="AL7" s="175">
        <f t="shared" ref="AL7:AL13" si="18">IMARGUMENT(AJ7)</f>
        <v>2.7365459338213972E-2</v>
      </c>
      <c r="AM7" s="175" t="str">
        <f t="shared" ref="AM7:AM13" si="19">IMSUM(COMPLEX(1,0),IMDIV(COMPLEX(0,2*PI()*O7),COMPLEX(wz_ea,0)))</f>
        <v>1+2.76460153515902i</v>
      </c>
      <c r="AN7" s="175">
        <f t="shared" ref="AN7:AN13" si="20">IMABS(AM7)</f>
        <v>2.9399016392055719</v>
      </c>
      <c r="AO7" s="175">
        <f t="shared" ref="AO7:AO13" si="21">IMARGUMENT(AM7)</f>
        <v>1.223722650659099</v>
      </c>
      <c r="AP7" s="166" t="str">
        <f t="shared" ref="AP7:AP13" si="22">IMPRODUCT(AF7,IMDIV(AM7,IMPRODUCT(AG7,AJ7)))</f>
        <v>-0.179188192672016+0.0704171883289088i</v>
      </c>
      <c r="AQ7" s="175">
        <f t="shared" ref="AQ7:AQ13" si="23">20*LOG(IMABS(AP7))</f>
        <v>-14.310126931287058</v>
      </c>
      <c r="AR7" s="167">
        <f t="shared" ref="AR7:AR13" si="24">(180/PI())*IMARGUMENT(AP7)</f>
        <v>158.54621785281188</v>
      </c>
      <c r="AS7" s="166" t="e">
        <f t="shared" ref="AS7:AS13" si="25">IMPRODUCT(AC7,AP7)</f>
        <v>#DIV/0!</v>
      </c>
      <c r="AT7" s="177" t="e">
        <f t="shared" ref="AT7:AT13" si="26">20*LOG(IMABS(AS7))</f>
        <v>#DIV/0!</v>
      </c>
      <c r="AU7" s="167" t="e">
        <f t="shared" ref="AU7:AU13" si="27">(180/PI())*IMARGUMENT(AS7)</f>
        <v>#DIV/0!</v>
      </c>
      <c r="AV7" s="225"/>
    </row>
    <row r="8" spans="1:51" ht="15.75" thickBot="1" x14ac:dyDescent="0.3">
      <c r="A8" s="170"/>
      <c r="B8" s="170"/>
      <c r="C8" s="170"/>
      <c r="D8" s="160"/>
      <c r="E8" s="158"/>
      <c r="F8" s="158"/>
      <c r="G8" s="158"/>
      <c r="H8" s="158"/>
      <c r="I8" s="158"/>
      <c r="J8" s="158"/>
      <c r="K8" s="158"/>
      <c r="L8" s="158"/>
      <c r="M8" s="170"/>
      <c r="N8" s="166" t="s">
        <v>302</v>
      </c>
      <c r="O8" s="167">
        <f>fcross</f>
        <v>2000</v>
      </c>
      <c r="P8" s="173" t="str">
        <f t="shared" ref="P8:P13" si="28">COMPLEX(Adc,0)</f>
        <v>290</v>
      </c>
      <c r="Q8" s="174" t="e">
        <f t="shared" ref="Q8:Q13" si="29">IMSUM(COMPLEX(1,0),IMDIV(COMPLEX(0,2*PI()*O8),COMPLEX(wp_lf,0)))</f>
        <v>#DIV/0!</v>
      </c>
      <c r="R8" s="174" t="e">
        <f t="shared" si="0"/>
        <v>#DIV/0!</v>
      </c>
      <c r="S8" s="174" t="e">
        <f t="shared" si="1"/>
        <v>#DIV/0!</v>
      </c>
      <c r="T8" s="174" t="e">
        <f t="shared" ref="T8:T13" si="30">IMSUM(COMPLEX(1,0),IMDIV(COMPLEX(0,2*PI()*O8),COMPLEX(wz_esr,0)))</f>
        <v>#DIV/0!</v>
      </c>
      <c r="U8" s="174" t="e">
        <f t="shared" si="2"/>
        <v>#DIV/0!</v>
      </c>
      <c r="V8" s="174" t="e">
        <f t="shared" si="3"/>
        <v>#DIV/0!</v>
      </c>
      <c r="W8" s="175" t="str">
        <f t="shared" ref="W8:W13" si="31">IMSUB(COMPLEX(1,0),IMDIV(COMPLEX(0,2*PI()*O8),COMPLEX(wz_rhp,0)))</f>
        <v>1-0.100138265833175i</v>
      </c>
      <c r="X8" s="174">
        <f t="shared" si="4"/>
        <v>1.0050013294936855</v>
      </c>
      <c r="Y8" s="174">
        <f t="shared" si="5"/>
        <v>-9.9805547480787085E-2</v>
      </c>
      <c r="Z8" s="175" t="str">
        <f t="shared" si="6"/>
        <v>0.999917355371901+0.0118911714821574i</v>
      </c>
      <c r="AA8" s="174">
        <f t="shared" si="7"/>
        <v>0.99998805869527985</v>
      </c>
      <c r="AB8" s="174">
        <f t="shared" si="8"/>
        <v>1.1891593743022247E-2</v>
      </c>
      <c r="AC8" s="176" t="e">
        <f t="shared" si="9"/>
        <v>#DIV/0!</v>
      </c>
      <c r="AD8" s="177" t="e">
        <f t="shared" si="10"/>
        <v>#DIV/0!</v>
      </c>
      <c r="AE8" s="167" t="e">
        <f t="shared" si="11"/>
        <v>#DIV/0!</v>
      </c>
      <c r="AF8" s="175" t="str">
        <f t="shared" si="12"/>
        <v>-0.0000182926829268293</v>
      </c>
      <c r="AG8" s="175" t="str">
        <f t="shared" si="13"/>
        <v>0.000279224755051061i</v>
      </c>
      <c r="AH8" s="175">
        <f t="shared" si="14"/>
        <v>2.7922475505106102E-4</v>
      </c>
      <c r="AI8" s="175">
        <f t="shared" si="15"/>
        <v>1.5707963267948966</v>
      </c>
      <c r="AJ8" s="175" t="str">
        <f t="shared" si="16"/>
        <v>1+0.0273722924273171i</v>
      </c>
      <c r="AK8" s="175">
        <f t="shared" si="17"/>
        <v>1.000374551052118</v>
      </c>
      <c r="AL8" s="175">
        <f t="shared" si="18"/>
        <v>2.7365459338213972E-2</v>
      </c>
      <c r="AM8" s="175" t="str">
        <f t="shared" si="19"/>
        <v>1+2.76460153515902i</v>
      </c>
      <c r="AN8" s="175">
        <f t="shared" si="20"/>
        <v>2.9399016392055719</v>
      </c>
      <c r="AO8" s="175">
        <f t="shared" si="21"/>
        <v>1.223722650659099</v>
      </c>
      <c r="AP8" s="166" t="str">
        <f t="shared" si="22"/>
        <v>-0.179188192672016+0.0704171883289088i</v>
      </c>
      <c r="AQ8" s="175">
        <f t="shared" si="23"/>
        <v>-14.310126931287058</v>
      </c>
      <c r="AR8" s="167">
        <f t="shared" si="24"/>
        <v>158.54621785281188</v>
      </c>
      <c r="AS8" s="166" t="e">
        <f t="shared" si="25"/>
        <v>#DIV/0!</v>
      </c>
      <c r="AT8" s="177" t="e">
        <f t="shared" si="26"/>
        <v>#DIV/0!</v>
      </c>
      <c r="AU8" s="167" t="e">
        <f t="shared" si="27"/>
        <v>#DIV/0!</v>
      </c>
      <c r="AV8" s="225"/>
    </row>
    <row r="9" spans="1:51" x14ac:dyDescent="0.25">
      <c r="A9" s="178" t="s">
        <v>205</v>
      </c>
      <c r="B9" s="170"/>
      <c r="C9" s="170"/>
      <c r="D9" s="160"/>
      <c r="E9" s="158"/>
      <c r="F9" s="158"/>
      <c r="G9" s="158"/>
      <c r="H9" s="158"/>
      <c r="I9" s="158"/>
      <c r="J9" s="158"/>
      <c r="K9" s="158"/>
      <c r="L9" s="158"/>
      <c r="M9" s="170"/>
      <c r="N9" s="179" t="s">
        <v>303</v>
      </c>
      <c r="O9" s="180">
        <f>wz_rhp/(2*PI())</f>
        <v>19972.385015453532</v>
      </c>
      <c r="P9" s="181" t="str">
        <f t="shared" si="28"/>
        <v>290</v>
      </c>
      <c r="Q9" s="182" t="e">
        <f t="shared" si="29"/>
        <v>#DIV/0!</v>
      </c>
      <c r="R9" s="182" t="e">
        <f t="shared" si="0"/>
        <v>#DIV/0!</v>
      </c>
      <c r="S9" s="182" t="e">
        <f t="shared" si="1"/>
        <v>#DIV/0!</v>
      </c>
      <c r="T9" s="182" t="e">
        <f t="shared" si="30"/>
        <v>#DIV/0!</v>
      </c>
      <c r="U9" s="182" t="e">
        <f t="shared" si="2"/>
        <v>#DIV/0!</v>
      </c>
      <c r="V9" s="182" t="e">
        <f t="shared" si="3"/>
        <v>#DIV/0!</v>
      </c>
      <c r="W9" s="183" t="str">
        <f t="shared" si="31"/>
        <v>1-i</v>
      </c>
      <c r="X9" s="182">
        <f t="shared" si="4"/>
        <v>1.4142135623730951</v>
      </c>
      <c r="Y9" s="182">
        <f t="shared" si="5"/>
        <v>-0.78539816339744828</v>
      </c>
      <c r="Z9" s="183" t="str">
        <f t="shared" si="6"/>
        <v>0.991758343735423+0.118747527563214i</v>
      </c>
      <c r="AA9" s="182">
        <f t="shared" si="7"/>
        <v>0.99884212349660439</v>
      </c>
      <c r="AB9" s="182">
        <f t="shared" si="8"/>
        <v>0.11916702584787046</v>
      </c>
      <c r="AC9" s="184" t="e">
        <f t="shared" si="9"/>
        <v>#DIV/0!</v>
      </c>
      <c r="AD9" s="185" t="e">
        <f t="shared" si="10"/>
        <v>#DIV/0!</v>
      </c>
      <c r="AE9" s="186" t="e">
        <f t="shared" si="11"/>
        <v>#DIV/0!</v>
      </c>
      <c r="AF9" s="183" t="str">
        <f t="shared" si="12"/>
        <v>-0.0000182926829268293</v>
      </c>
      <c r="AG9" s="183" t="str">
        <f t="shared" si="13"/>
        <v>0.00278839215686275i</v>
      </c>
      <c r="AH9" s="183">
        <f t="shared" si="14"/>
        <v>2.78839215686275E-3</v>
      </c>
      <c r="AI9" s="183">
        <f t="shared" si="15"/>
        <v>1.5707963267948966</v>
      </c>
      <c r="AJ9" s="183" t="str">
        <f t="shared" si="16"/>
        <v>1+0.273344981556979i</v>
      </c>
      <c r="AK9" s="183">
        <f t="shared" si="17"/>
        <v>1.0366858149614979</v>
      </c>
      <c r="AL9" s="183">
        <f t="shared" si="18"/>
        <v>0.26682690332099435</v>
      </c>
      <c r="AM9" s="183" t="str">
        <f t="shared" si="19"/>
        <v>1+27.6078431372548i</v>
      </c>
      <c r="AN9" s="183">
        <f t="shared" si="20"/>
        <v>27.62594799624561</v>
      </c>
      <c r="AO9" s="183">
        <f t="shared" si="21"/>
        <v>1.5345905643805831</v>
      </c>
      <c r="AP9" s="179" t="str">
        <f t="shared" si="22"/>
        <v>-0.166855430916328+0.0521693924845779i</v>
      </c>
      <c r="AQ9" s="183">
        <f t="shared" si="23"/>
        <v>-15.148128239310964</v>
      </c>
      <c r="AR9" s="186">
        <f t="shared" si="24"/>
        <v>162.63750719876822</v>
      </c>
      <c r="AS9" s="179" t="e">
        <f t="shared" si="25"/>
        <v>#DIV/0!</v>
      </c>
      <c r="AT9" s="185" t="e">
        <f t="shared" si="26"/>
        <v>#DIV/0!</v>
      </c>
      <c r="AU9" s="186" t="e">
        <f t="shared" si="27"/>
        <v>#DIV/0!</v>
      </c>
      <c r="AV9" s="225"/>
    </row>
    <row r="10" spans="1:51" x14ac:dyDescent="0.25">
      <c r="A10" s="98" t="s">
        <v>25</v>
      </c>
      <c r="B10" s="187">
        <f>VIN_min</f>
        <v>21.6</v>
      </c>
      <c r="C10" s="98" t="s">
        <v>10</v>
      </c>
      <c r="E10" s="98" t="s">
        <v>28</v>
      </c>
      <c r="N10" s="168" t="s">
        <v>254</v>
      </c>
      <c r="O10" s="188" t="e">
        <f>wz_esr/(2*PI())</f>
        <v>#DIV/0!</v>
      </c>
      <c r="P10" s="189" t="str">
        <f t="shared" si="28"/>
        <v>290</v>
      </c>
      <c r="Q10" s="160" t="e">
        <f t="shared" si="29"/>
        <v>#DIV/0!</v>
      </c>
      <c r="R10" s="160" t="e">
        <f t="shared" si="0"/>
        <v>#DIV/0!</v>
      </c>
      <c r="S10" s="160" t="e">
        <f t="shared" si="1"/>
        <v>#DIV/0!</v>
      </c>
      <c r="T10" s="160" t="e">
        <f t="shared" si="30"/>
        <v>#DIV/0!</v>
      </c>
      <c r="U10" s="160" t="e">
        <f t="shared" si="2"/>
        <v>#DIV/0!</v>
      </c>
      <c r="V10" s="160" t="e">
        <f t="shared" si="3"/>
        <v>#DIV/0!</v>
      </c>
      <c r="W10" s="98" t="e">
        <f t="shared" si="31"/>
        <v>#DIV/0!</v>
      </c>
      <c r="X10" s="160" t="e">
        <f t="shared" si="4"/>
        <v>#DIV/0!</v>
      </c>
      <c r="Y10" s="160" t="e">
        <f t="shared" si="5"/>
        <v>#DIV/0!</v>
      </c>
      <c r="Z10" s="98" t="e">
        <f t="shared" si="6"/>
        <v>#DIV/0!</v>
      </c>
      <c r="AA10" s="160" t="e">
        <f t="shared" si="7"/>
        <v>#DIV/0!</v>
      </c>
      <c r="AB10" s="160" t="e">
        <f t="shared" si="8"/>
        <v>#DIV/0!</v>
      </c>
      <c r="AC10" s="171" t="e">
        <f t="shared" si="9"/>
        <v>#DIV/0!</v>
      </c>
      <c r="AD10" s="190" t="e">
        <f t="shared" si="10"/>
        <v>#DIV/0!</v>
      </c>
      <c r="AE10" s="169" t="e">
        <f t="shared" si="11"/>
        <v>#DIV/0!</v>
      </c>
      <c r="AF10" s="98" t="str">
        <f t="shared" si="12"/>
        <v>-0.0000182926829268293</v>
      </c>
      <c r="AG10" s="98" t="e">
        <f t="shared" si="13"/>
        <v>#DIV/0!</v>
      </c>
      <c r="AH10" s="98" t="e">
        <f t="shared" si="14"/>
        <v>#DIV/0!</v>
      </c>
      <c r="AI10" s="98" t="e">
        <f t="shared" si="15"/>
        <v>#DIV/0!</v>
      </c>
      <c r="AJ10" s="98" t="e">
        <f t="shared" si="16"/>
        <v>#DIV/0!</v>
      </c>
      <c r="AK10" s="98" t="e">
        <f t="shared" si="17"/>
        <v>#DIV/0!</v>
      </c>
      <c r="AL10" s="98" t="e">
        <f t="shared" si="18"/>
        <v>#DIV/0!</v>
      </c>
      <c r="AM10" s="98" t="e">
        <f t="shared" si="19"/>
        <v>#DIV/0!</v>
      </c>
      <c r="AN10" s="98" t="e">
        <f t="shared" si="20"/>
        <v>#DIV/0!</v>
      </c>
      <c r="AO10" s="98" t="e">
        <f t="shared" si="21"/>
        <v>#DIV/0!</v>
      </c>
      <c r="AP10" s="168" t="e">
        <f t="shared" si="22"/>
        <v>#DIV/0!</v>
      </c>
      <c r="AQ10" s="98" t="e">
        <f t="shared" si="23"/>
        <v>#DIV/0!</v>
      </c>
      <c r="AR10" s="169" t="e">
        <f t="shared" si="24"/>
        <v>#DIV/0!</v>
      </c>
      <c r="AS10" s="168" t="e">
        <f t="shared" si="25"/>
        <v>#DIV/0!</v>
      </c>
      <c r="AT10" s="190" t="e">
        <f t="shared" si="26"/>
        <v>#DIV/0!</v>
      </c>
      <c r="AU10" s="169" t="e">
        <f t="shared" si="27"/>
        <v>#DIV/0!</v>
      </c>
      <c r="AV10" s="225"/>
    </row>
    <row r="11" spans="1:51" ht="15.75" thickBot="1" x14ac:dyDescent="0.3">
      <c r="A11" s="98" t="s">
        <v>26</v>
      </c>
      <c r="B11" s="187">
        <f>VIN_nom</f>
        <v>24</v>
      </c>
      <c r="C11" s="98" t="s">
        <v>10</v>
      </c>
      <c r="E11" s="98" t="s">
        <v>29</v>
      </c>
      <c r="N11" s="191" t="s">
        <v>252</v>
      </c>
      <c r="O11" s="192" t="e">
        <f>wp_lf/(2*PI())</f>
        <v>#DIV/0!</v>
      </c>
      <c r="P11" s="193" t="str">
        <f t="shared" si="28"/>
        <v>290</v>
      </c>
      <c r="Q11" s="194" t="e">
        <f t="shared" si="29"/>
        <v>#DIV/0!</v>
      </c>
      <c r="R11" s="194" t="e">
        <f t="shared" si="0"/>
        <v>#DIV/0!</v>
      </c>
      <c r="S11" s="194" t="e">
        <f t="shared" si="1"/>
        <v>#DIV/0!</v>
      </c>
      <c r="T11" s="194" t="e">
        <f t="shared" si="30"/>
        <v>#DIV/0!</v>
      </c>
      <c r="U11" s="194" t="e">
        <f t="shared" si="2"/>
        <v>#DIV/0!</v>
      </c>
      <c r="V11" s="194" t="e">
        <f t="shared" si="3"/>
        <v>#DIV/0!</v>
      </c>
      <c r="W11" s="195" t="e">
        <f t="shared" si="31"/>
        <v>#DIV/0!</v>
      </c>
      <c r="X11" s="194" t="e">
        <f t="shared" si="4"/>
        <v>#DIV/0!</v>
      </c>
      <c r="Y11" s="194" t="e">
        <f t="shared" si="5"/>
        <v>#DIV/0!</v>
      </c>
      <c r="Z11" s="195" t="e">
        <f t="shared" si="6"/>
        <v>#DIV/0!</v>
      </c>
      <c r="AA11" s="194" t="e">
        <f t="shared" si="7"/>
        <v>#DIV/0!</v>
      </c>
      <c r="AB11" s="194" t="e">
        <f t="shared" si="8"/>
        <v>#DIV/0!</v>
      </c>
      <c r="AC11" s="196" t="e">
        <f t="shared" si="9"/>
        <v>#DIV/0!</v>
      </c>
      <c r="AD11" s="197" t="e">
        <f t="shared" si="10"/>
        <v>#DIV/0!</v>
      </c>
      <c r="AE11" s="198" t="e">
        <f t="shared" si="11"/>
        <v>#DIV/0!</v>
      </c>
      <c r="AF11" s="195" t="str">
        <f t="shared" si="12"/>
        <v>-0.0000182926829268293</v>
      </c>
      <c r="AG11" s="195" t="e">
        <f t="shared" si="13"/>
        <v>#DIV/0!</v>
      </c>
      <c r="AH11" s="195" t="e">
        <f t="shared" si="14"/>
        <v>#DIV/0!</v>
      </c>
      <c r="AI11" s="195" t="e">
        <f t="shared" si="15"/>
        <v>#DIV/0!</v>
      </c>
      <c r="AJ11" s="195" t="e">
        <f t="shared" si="16"/>
        <v>#DIV/0!</v>
      </c>
      <c r="AK11" s="195" t="e">
        <f t="shared" si="17"/>
        <v>#DIV/0!</v>
      </c>
      <c r="AL11" s="195" t="e">
        <f t="shared" si="18"/>
        <v>#DIV/0!</v>
      </c>
      <c r="AM11" s="195" t="e">
        <f t="shared" si="19"/>
        <v>#DIV/0!</v>
      </c>
      <c r="AN11" s="195" t="e">
        <f t="shared" si="20"/>
        <v>#DIV/0!</v>
      </c>
      <c r="AO11" s="195" t="e">
        <f t="shared" si="21"/>
        <v>#DIV/0!</v>
      </c>
      <c r="AP11" s="191" t="e">
        <f t="shared" si="22"/>
        <v>#DIV/0!</v>
      </c>
      <c r="AQ11" s="195" t="e">
        <f t="shared" si="23"/>
        <v>#DIV/0!</v>
      </c>
      <c r="AR11" s="198" t="e">
        <f t="shared" si="24"/>
        <v>#DIV/0!</v>
      </c>
      <c r="AS11" s="191" t="e">
        <f t="shared" si="25"/>
        <v>#DIV/0!</v>
      </c>
      <c r="AT11" s="197" t="e">
        <f t="shared" si="26"/>
        <v>#DIV/0!</v>
      </c>
      <c r="AU11" s="198" t="e">
        <f t="shared" si="27"/>
        <v>#DIV/0!</v>
      </c>
      <c r="AV11" s="225"/>
      <c r="AX11" s="213" t="s">
        <v>537</v>
      </c>
      <c r="AY11" s="213"/>
    </row>
    <row r="12" spans="1:51" x14ac:dyDescent="0.25">
      <c r="A12" s="98" t="s">
        <v>27</v>
      </c>
      <c r="B12" s="187">
        <f>VIN_max</f>
        <v>26.4</v>
      </c>
      <c r="C12" s="98" t="s">
        <v>10</v>
      </c>
      <c r="E12" s="98" t="s">
        <v>30</v>
      </c>
      <c r="N12" s="179" t="s">
        <v>263</v>
      </c>
      <c r="O12" s="186">
        <f>wz_ea/(2*PI())</f>
        <v>723.43155950861512</v>
      </c>
      <c r="P12" s="181" t="str">
        <f t="shared" si="28"/>
        <v>290</v>
      </c>
      <c r="Q12" s="182" t="e">
        <f t="shared" si="29"/>
        <v>#DIV/0!</v>
      </c>
      <c r="R12" s="182" t="e">
        <f t="shared" si="0"/>
        <v>#DIV/0!</v>
      </c>
      <c r="S12" s="182" t="e">
        <f t="shared" si="1"/>
        <v>#DIV/0!</v>
      </c>
      <c r="T12" s="182" t="e">
        <f t="shared" si="30"/>
        <v>#DIV/0!</v>
      </c>
      <c r="U12" s="182" t="e">
        <f t="shared" si="2"/>
        <v>#DIV/0!</v>
      </c>
      <c r="V12" s="182" t="e">
        <f t="shared" si="3"/>
        <v>#DIV/0!</v>
      </c>
      <c r="W12" s="183" t="str">
        <f t="shared" si="31"/>
        <v>1-0.0362215909090911i</v>
      </c>
      <c r="X12" s="182">
        <f t="shared" si="4"/>
        <v>1.0006557867958319</v>
      </c>
      <c r="Y12" s="182">
        <f t="shared" si="5"/>
        <v>-3.6205762414313572E-2</v>
      </c>
      <c r="Z12" s="183" t="str">
        <f t="shared" si="6"/>
        <v>0.999989186916915+0.00430122436486075i</v>
      </c>
      <c r="AA12" s="182">
        <f t="shared" si="7"/>
        <v>0.99999843723967363</v>
      </c>
      <c r="AB12" s="182">
        <f t="shared" si="8"/>
        <v>4.3012443493157847E-3</v>
      </c>
      <c r="AC12" s="184" t="e">
        <f t="shared" si="9"/>
        <v>#DIV/0!</v>
      </c>
      <c r="AD12" s="185" t="e">
        <f t="shared" si="10"/>
        <v>#DIV/0!</v>
      </c>
      <c r="AE12" s="186" t="e">
        <f t="shared" si="11"/>
        <v>#DIV/0!</v>
      </c>
      <c r="AF12" s="183" t="str">
        <f t="shared" si="12"/>
        <v>-0.0000182926829268293</v>
      </c>
      <c r="AG12" s="183" t="str">
        <f t="shared" si="13"/>
        <v>0.000101i</v>
      </c>
      <c r="AH12" s="183">
        <f t="shared" si="14"/>
        <v>1.01E-4</v>
      </c>
      <c r="AI12" s="183">
        <f t="shared" si="15"/>
        <v>1.5707963267948966</v>
      </c>
      <c r="AJ12" s="183" t="str">
        <f t="shared" si="16"/>
        <v>1+0.00990099009900991i</v>
      </c>
      <c r="AK12" s="183">
        <f t="shared" si="17"/>
        <v>1.0000490136013038</v>
      </c>
      <c r="AL12" s="183">
        <f t="shared" si="18"/>
        <v>9.9006665879885821E-3</v>
      </c>
      <c r="AM12" s="183" t="str">
        <f t="shared" si="19"/>
        <v>1+i</v>
      </c>
      <c r="AN12" s="183">
        <f t="shared" si="20"/>
        <v>1.4142135623730951</v>
      </c>
      <c r="AO12" s="183">
        <f t="shared" si="21"/>
        <v>0.78539816339744828</v>
      </c>
      <c r="AP12" s="179" t="str">
        <f t="shared" si="22"/>
        <v>-0.179304870876586+0.182890968294118i</v>
      </c>
      <c r="AQ12" s="183">
        <f t="shared" si="23"/>
        <v>-11.831005101872556</v>
      </c>
      <c r="AR12" s="186">
        <f t="shared" si="24"/>
        <v>134.43273359014202</v>
      </c>
      <c r="AS12" s="179" t="e">
        <f t="shared" si="25"/>
        <v>#DIV/0!</v>
      </c>
      <c r="AT12" s="185" t="e">
        <f t="shared" si="26"/>
        <v>#DIV/0!</v>
      </c>
      <c r="AU12" s="186" t="e">
        <f t="shared" si="27"/>
        <v>#DIV/0!</v>
      </c>
      <c r="AV12" s="225"/>
      <c r="AX12" t="s">
        <v>538</v>
      </c>
      <c r="AY12" t="e">
        <f>SUM(AX19:AX559)/1000</f>
        <v>#DIV/0!</v>
      </c>
    </row>
    <row r="13" spans="1:51" ht="15.75" thickBot="1" x14ac:dyDescent="0.3">
      <c r="A13" s="98" t="s">
        <v>68</v>
      </c>
      <c r="B13" s="187">
        <f>Fsw</f>
        <v>440000</v>
      </c>
      <c r="C13" s="98" t="s">
        <v>69</v>
      </c>
      <c r="E13" s="98" t="s">
        <v>70</v>
      </c>
      <c r="N13" s="191" t="s">
        <v>269</v>
      </c>
      <c r="O13" s="198">
        <f>wp1_ea/(2*PI())</f>
        <v>73066.587510370155</v>
      </c>
      <c r="P13" s="193" t="str">
        <f t="shared" si="28"/>
        <v>290</v>
      </c>
      <c r="Q13" s="194" t="e">
        <f t="shared" si="29"/>
        <v>#DIV/0!</v>
      </c>
      <c r="R13" s="194" t="e">
        <f t="shared" si="0"/>
        <v>#DIV/0!</v>
      </c>
      <c r="S13" s="194" t="e">
        <f t="shared" si="1"/>
        <v>#DIV/0!</v>
      </c>
      <c r="T13" s="194" t="e">
        <f t="shared" si="30"/>
        <v>#DIV/0!</v>
      </c>
      <c r="U13" s="194" t="e">
        <f t="shared" si="2"/>
        <v>#DIV/0!</v>
      </c>
      <c r="V13" s="194" t="e">
        <f t="shared" si="3"/>
        <v>#DIV/0!</v>
      </c>
      <c r="W13" s="195" t="str">
        <f t="shared" si="31"/>
        <v>1-3.65838068181819i</v>
      </c>
      <c r="X13" s="194">
        <f t="shared" si="4"/>
        <v>3.7925913585700908</v>
      </c>
      <c r="Y13" s="194">
        <f t="shared" si="5"/>
        <v>-1.3039694234739025</v>
      </c>
      <c r="Z13" s="195" t="str">
        <f t="shared" si="6"/>
        <v>0.889695739454327+0.434423660850935i</v>
      </c>
      <c r="AA13" s="194">
        <f t="shared" si="7"/>
        <v>0.99009213001129837</v>
      </c>
      <c r="AB13" s="194">
        <f t="shared" si="8"/>
        <v>0.45423047155425766</v>
      </c>
      <c r="AC13" s="196" t="e">
        <f t="shared" si="9"/>
        <v>#DIV/0!</v>
      </c>
      <c r="AD13" s="197" t="e">
        <f t="shared" si="10"/>
        <v>#DIV/0!</v>
      </c>
      <c r="AE13" s="198" t="e">
        <f t="shared" si="11"/>
        <v>#DIV/0!</v>
      </c>
      <c r="AF13" s="195" t="str">
        <f t="shared" si="12"/>
        <v>-0.0000182926829268293</v>
      </c>
      <c r="AG13" s="195" t="str">
        <f t="shared" si="13"/>
        <v>0.010201i</v>
      </c>
      <c r="AH13" s="195">
        <f t="shared" si="14"/>
        <v>1.0201E-2</v>
      </c>
      <c r="AI13" s="195">
        <f t="shared" si="15"/>
        <v>1.5707963267948966</v>
      </c>
      <c r="AJ13" s="195" t="str">
        <f t="shared" si="16"/>
        <v>1+i</v>
      </c>
      <c r="AK13" s="195">
        <f t="shared" si="17"/>
        <v>1.4142135623730951</v>
      </c>
      <c r="AL13" s="195">
        <f t="shared" si="18"/>
        <v>0.78539816339744828</v>
      </c>
      <c r="AM13" s="195" t="str">
        <f t="shared" si="19"/>
        <v>1+101i</v>
      </c>
      <c r="AN13" s="195">
        <f t="shared" si="20"/>
        <v>101.00495037373169</v>
      </c>
      <c r="AO13" s="195">
        <f t="shared" si="21"/>
        <v>1.560895660206908</v>
      </c>
      <c r="AP13" s="191" t="str">
        <f t="shared" si="22"/>
        <v>-0.0896612240311209+0.0914544485117435i</v>
      </c>
      <c r="AQ13" s="195">
        <f t="shared" si="23"/>
        <v>-17.850753582554525</v>
      </c>
      <c r="AR13" s="198">
        <f t="shared" si="24"/>
        <v>134.43273359014199</v>
      </c>
      <c r="AS13" s="191" t="e">
        <f t="shared" si="25"/>
        <v>#DIV/0!</v>
      </c>
      <c r="AT13" s="197" t="e">
        <f t="shared" si="26"/>
        <v>#DIV/0!</v>
      </c>
      <c r="AU13" s="198" t="e">
        <f t="shared" si="27"/>
        <v>#DIV/0!</v>
      </c>
      <c r="AV13" s="225"/>
      <c r="AX13"/>
      <c r="AY13"/>
    </row>
    <row r="14" spans="1:51" x14ac:dyDescent="0.25">
      <c r="A14" s="98" t="s">
        <v>563</v>
      </c>
      <c r="B14" s="98" t="s">
        <v>495</v>
      </c>
      <c r="E14" s="98" t="s">
        <v>564</v>
      </c>
      <c r="AX14" t="s">
        <v>539</v>
      </c>
      <c r="AY14" s="23" t="e">
        <f>SUM(AY19:AY559)</f>
        <v>#DIV/0!</v>
      </c>
    </row>
    <row r="15" spans="1:51" ht="15.75" thickBot="1" x14ac:dyDescent="0.3">
      <c r="O15" s="199" t="s">
        <v>231</v>
      </c>
      <c r="P15" s="98">
        <f>B17</f>
        <v>24</v>
      </c>
      <c r="Q15" s="98" t="s">
        <v>10</v>
      </c>
    </row>
    <row r="16" spans="1:51" ht="15.75" thickBot="1" x14ac:dyDescent="0.3">
      <c r="A16" s="200" t="s">
        <v>262</v>
      </c>
      <c r="O16" s="201"/>
      <c r="P16" s="241" t="s">
        <v>260</v>
      </c>
      <c r="Q16" s="241"/>
      <c r="R16" s="241"/>
      <c r="S16" s="241"/>
      <c r="T16" s="241"/>
      <c r="U16" s="241"/>
      <c r="V16" s="241"/>
      <c r="W16" s="241"/>
      <c r="X16" s="241"/>
      <c r="Y16" s="241"/>
      <c r="Z16" s="241"/>
      <c r="AA16" s="241"/>
      <c r="AB16" s="241"/>
      <c r="AC16" s="241"/>
      <c r="AD16" s="241"/>
      <c r="AE16" s="242"/>
      <c r="AF16" s="243" t="s">
        <v>261</v>
      </c>
      <c r="AG16" s="241"/>
      <c r="AH16" s="241"/>
      <c r="AI16" s="241"/>
      <c r="AJ16" s="241"/>
      <c r="AK16" s="241"/>
      <c r="AL16" s="241"/>
      <c r="AM16" s="241"/>
      <c r="AN16" s="241"/>
      <c r="AO16" s="241"/>
      <c r="AP16" s="241"/>
      <c r="AQ16" s="241"/>
      <c r="AR16" s="242"/>
      <c r="AS16" s="243" t="s">
        <v>272</v>
      </c>
      <c r="AT16" s="241"/>
      <c r="AU16" s="242"/>
    </row>
    <row r="17" spans="1:51" x14ac:dyDescent="0.25">
      <c r="A17" s="98" t="s">
        <v>233</v>
      </c>
      <c r="B17" s="98">
        <f>VIN_var</f>
        <v>24</v>
      </c>
      <c r="C17" s="98" t="s">
        <v>10</v>
      </c>
      <c r="E17" s="98" t="s">
        <v>234</v>
      </c>
      <c r="O17" s="202"/>
      <c r="Q17" s="239" t="s">
        <v>252</v>
      </c>
      <c r="R17" s="239"/>
      <c r="S17" s="239"/>
      <c r="T17" s="240" t="s">
        <v>254</v>
      </c>
      <c r="U17" s="240"/>
      <c r="V17" s="240"/>
      <c r="W17" s="240" t="s">
        <v>253</v>
      </c>
      <c r="X17" s="240"/>
      <c r="Y17" s="240"/>
      <c r="Z17" s="240" t="s">
        <v>257</v>
      </c>
      <c r="AA17" s="240"/>
      <c r="AB17" s="240"/>
      <c r="AC17" s="244" t="s">
        <v>259</v>
      </c>
      <c r="AD17" s="240"/>
      <c r="AE17" s="245"/>
      <c r="AG17" s="240" t="s">
        <v>268</v>
      </c>
      <c r="AH17" s="240"/>
      <c r="AI17" s="240"/>
      <c r="AJ17" s="240" t="s">
        <v>269</v>
      </c>
      <c r="AK17" s="240"/>
      <c r="AL17" s="240"/>
      <c r="AM17" s="240" t="s">
        <v>263</v>
      </c>
      <c r="AN17" s="240"/>
      <c r="AO17" s="240"/>
      <c r="AP17" s="244" t="s">
        <v>259</v>
      </c>
      <c r="AQ17" s="240"/>
      <c r="AR17" s="245"/>
      <c r="AS17" s="244" t="s">
        <v>259</v>
      </c>
      <c r="AT17" s="240"/>
      <c r="AU17" s="245"/>
      <c r="AV17" s="223"/>
    </row>
    <row r="18" spans="1:51" ht="15.75" thickBot="1" x14ac:dyDescent="0.3">
      <c r="A18" s="98" t="s">
        <v>450</v>
      </c>
      <c r="C18" s="98" t="s">
        <v>11</v>
      </c>
      <c r="E18" s="98" t="s">
        <v>451</v>
      </c>
      <c r="N18" s="170"/>
      <c r="O18" s="203" t="s">
        <v>230</v>
      </c>
      <c r="P18" s="194" t="s">
        <v>235</v>
      </c>
      <c r="Q18" s="195" t="s">
        <v>258</v>
      </c>
      <c r="R18" s="194" t="s">
        <v>255</v>
      </c>
      <c r="S18" s="194" t="s">
        <v>256</v>
      </c>
      <c r="T18" s="194" t="s">
        <v>258</v>
      </c>
      <c r="U18" s="194" t="s">
        <v>255</v>
      </c>
      <c r="V18" s="194" t="s">
        <v>256</v>
      </c>
      <c r="W18" s="194" t="s">
        <v>258</v>
      </c>
      <c r="X18" s="194" t="s">
        <v>255</v>
      </c>
      <c r="Y18" s="194" t="s">
        <v>256</v>
      </c>
      <c r="Z18" s="194" t="s">
        <v>258</v>
      </c>
      <c r="AA18" s="194" t="s">
        <v>255</v>
      </c>
      <c r="AB18" s="194" t="s">
        <v>256</v>
      </c>
      <c r="AC18" s="196" t="s">
        <v>273</v>
      </c>
      <c r="AD18" s="194" t="s">
        <v>255</v>
      </c>
      <c r="AE18" s="204" t="s">
        <v>256</v>
      </c>
      <c r="AF18" s="194" t="s">
        <v>270</v>
      </c>
      <c r="AG18" s="194" t="s">
        <v>258</v>
      </c>
      <c r="AH18" s="194" t="s">
        <v>271</v>
      </c>
      <c r="AI18" s="194" t="s">
        <v>256</v>
      </c>
      <c r="AJ18" s="194" t="s">
        <v>258</v>
      </c>
      <c r="AK18" s="194" t="s">
        <v>271</v>
      </c>
      <c r="AL18" s="194" t="s">
        <v>256</v>
      </c>
      <c r="AM18" s="194" t="s">
        <v>258</v>
      </c>
      <c r="AN18" s="194" t="s">
        <v>271</v>
      </c>
      <c r="AO18" s="194" t="s">
        <v>256</v>
      </c>
      <c r="AP18" s="196" t="s">
        <v>273</v>
      </c>
      <c r="AQ18" s="194" t="s">
        <v>255</v>
      </c>
      <c r="AR18" s="204" t="s">
        <v>256</v>
      </c>
      <c r="AS18" s="196" t="s">
        <v>273</v>
      </c>
      <c r="AT18" s="194" t="s">
        <v>255</v>
      </c>
      <c r="AU18" s="204" t="s">
        <v>256</v>
      </c>
      <c r="AV18" s="225"/>
      <c r="AX18" s="98" t="s">
        <v>535</v>
      </c>
      <c r="AY18" s="98" t="s">
        <v>536</v>
      </c>
    </row>
    <row r="19" spans="1:51" x14ac:dyDescent="0.25">
      <c r="N19" s="170">
        <v>1</v>
      </c>
      <c r="O19" s="199">
        <f>10^(1+(N19/100))</f>
        <v>10.232929922807543</v>
      </c>
      <c r="P19" s="189" t="str">
        <f t="shared" ref="P19:P82" si="32">COMPLEX(Adc,0)</f>
        <v>290</v>
      </c>
      <c r="Q19" s="160" t="e">
        <f t="shared" ref="Q19:Q82" si="33">IMSUM(COMPLEX(1,0),IMDIV(COMPLEX(0,2*PI()*O19),COMPLEX(wp_lf,0)))</f>
        <v>#DIV/0!</v>
      </c>
      <c r="R19" s="160" t="e">
        <f>IMABS(Q19)</f>
        <v>#DIV/0!</v>
      </c>
      <c r="S19" s="160" t="e">
        <f>IMARGUMENT(Q19)</f>
        <v>#DIV/0!</v>
      </c>
      <c r="T19" s="160" t="e">
        <f t="shared" ref="T19:T82" si="34">IMSUM(COMPLEX(1,0),IMDIV(COMPLEX(0,2*PI()*O19),COMPLEX(wz_esr,0)))</f>
        <v>#DIV/0!</v>
      </c>
      <c r="U19" s="160" t="e">
        <f>IMABS(T19)</f>
        <v>#DIV/0!</v>
      </c>
      <c r="V19" s="160" t="e">
        <f>IMARGUMENT(T19)</f>
        <v>#DIV/0!</v>
      </c>
      <c r="W19" s="98" t="str">
        <f t="shared" ref="W19:W82" si="35">IMSUB(COMPLEX(1,0),IMDIV(COMPLEX(0,2*PI()*O19),COMPLEX(wz_rhp,0)))</f>
        <v>1-0.000512353928431176i</v>
      </c>
      <c r="X19" s="160">
        <f>IMABS(W19)</f>
        <v>1.0000001312532654</v>
      </c>
      <c r="Y19" s="160">
        <f>IMARGUMENT(W19)</f>
        <v>-5.1235388359909602E-4</v>
      </c>
      <c r="Z19" s="98" t="str">
        <f t="shared" ref="Z19:Z82" si="36">IF(Dc_Mode_Loop="CCM",IMSUM(COMPLEX(1,0),IMDIV(COMPLEX(0,2*PI()*O19),COMPLEX(Q*(wsl/2),0)),IMDIV(IMPOWER(COMPLEX(0,2*PI()*O19),2),IMPOWER(COMPLEX(wsl/2,0),2))),COMPLEX(1,0))</f>
        <v>0.999999997836511+0.000060840762238502i</v>
      </c>
      <c r="AA19" s="160">
        <f>IMABS(Z19)</f>
        <v>0.99999999968731001</v>
      </c>
      <c r="AB19" s="160">
        <f>IMARGUMENT(Z19)</f>
        <v>6.0840762295060971E-5</v>
      </c>
      <c r="AC19" s="171" t="e">
        <f>(IMDIV(IMPRODUCT(P19,T19,W19),IMPRODUCT(Q19,Z19)))</f>
        <v>#DIV/0!</v>
      </c>
      <c r="AD19" s="190" t="e">
        <f>20*LOG(IMABS(AC19))</f>
        <v>#DIV/0!</v>
      </c>
      <c r="AE19" s="169" t="e">
        <f>(180/PI())*IMARGUMENT(AC19)</f>
        <v>#DIV/0!</v>
      </c>
      <c r="AF19" s="98" t="str">
        <f t="shared" ref="AF19:AF82" si="37">COMPLEX(Adc_ea,0)</f>
        <v>-0.0000182926829268293</v>
      </c>
      <c r="AG19" s="98" t="str">
        <f t="shared" ref="AG19:AG82" si="38">COMPLEX(0,2*PI()*O19*wp0_ea)</f>
        <v>0.0000014286436755753i</v>
      </c>
      <c r="AH19" s="98">
        <f>IMABS(AG19)</f>
        <v>1.4286436755753E-6</v>
      </c>
      <c r="AI19" s="98">
        <f>IMARGUMENT(AG19)</f>
        <v>1.5707963267948966</v>
      </c>
      <c r="AJ19" s="98" t="str">
        <f t="shared" ref="AJ19:AJ82" si="39">IMSUM(COMPLEX(1,0),IMDIV(COMPLEX(0,2*PI()*O19),COMPLEX(wp1_ea,0)))</f>
        <v>1+0.000140049375117665i</v>
      </c>
      <c r="AK19" s="98">
        <f>IMABS(AJ19)</f>
        <v>1.0000000098069137</v>
      </c>
      <c r="AL19" s="98">
        <f>IMARGUMENT(AJ19)</f>
        <v>1.4004937420203026E-4</v>
      </c>
      <c r="AM19" s="98" t="str">
        <f t="shared" ref="AM19:AM82" si="40">IMSUM(COMPLEX(1,0),IMDIV(COMPLEX(0,2*PI()*O19),COMPLEX(wz_ea,0)))</f>
        <v>1+0.0141449868868842i</v>
      </c>
      <c r="AN19" s="98">
        <f>IMABS(AM19)</f>
        <v>1.0001000353234821</v>
      </c>
      <c r="AO19" s="98">
        <f>IMARGUMENT(AM19)</f>
        <v>1.4144043620710006E-2</v>
      </c>
      <c r="AP19" s="168" t="str">
        <f>IMPRODUCT(AF19,IMDIV(AM19,IMPRODUCT(AG19,AJ19)))</f>
        <v>-0.179322444545043+12.8042556156734i</v>
      </c>
      <c r="AQ19" s="98">
        <f>20*LOG(IMABS(AP19))</f>
        <v>22.147938441320729</v>
      </c>
      <c r="AR19" s="169">
        <f>(180/PI())*IMARGUMENT(AP19)</f>
        <v>90.802369766650401</v>
      </c>
      <c r="AS19" s="168" t="e">
        <f>IMPRODUCT(AC19,AP19)</f>
        <v>#DIV/0!</v>
      </c>
      <c r="AT19" s="190" t="e">
        <f>20*LOG(IMABS(AS19))</f>
        <v>#DIV/0!</v>
      </c>
      <c r="AU19" s="169" t="e">
        <f>(180/PI())*IMARGUMENT(AS19)</f>
        <v>#DIV/0!</v>
      </c>
      <c r="AV19" s="225"/>
      <c r="AX19" t="e">
        <f>SUM((AT20&lt;0)*(AT19&gt;0))*O19</f>
        <v>#DIV/0!</v>
      </c>
      <c r="AY19" t="e">
        <f>IF(AX19&gt;0,AU19,0)</f>
        <v>#DIV/0!</v>
      </c>
    </row>
    <row r="20" spans="1:51" x14ac:dyDescent="0.25">
      <c r="A20" s="98" t="s">
        <v>31</v>
      </c>
      <c r="B20" s="205">
        <f>VOUT</f>
        <v>135</v>
      </c>
      <c r="C20" s="98" t="s">
        <v>10</v>
      </c>
      <c r="E20" s="98" t="s">
        <v>206</v>
      </c>
      <c r="N20" s="170">
        <v>2</v>
      </c>
      <c r="O20" s="199">
        <f t="shared" ref="O20:O83" si="41">10^(1+(N20/100))</f>
        <v>10.471285480509</v>
      </c>
      <c r="P20" s="189" t="str">
        <f t="shared" si="32"/>
        <v>290</v>
      </c>
      <c r="Q20" s="160" t="e">
        <f t="shared" si="33"/>
        <v>#DIV/0!</v>
      </c>
      <c r="R20" s="160" t="e">
        <f t="shared" ref="R20:R83" si="42">IMABS(Q20)</f>
        <v>#DIV/0!</v>
      </c>
      <c r="S20" s="160" t="e">
        <f t="shared" ref="S20:S83" si="43">IMARGUMENT(Q20)</f>
        <v>#DIV/0!</v>
      </c>
      <c r="T20" s="160" t="e">
        <f t="shared" si="34"/>
        <v>#DIV/0!</v>
      </c>
      <c r="U20" s="160" t="e">
        <f t="shared" ref="U20:U83" si="44">IMABS(T20)</f>
        <v>#DIV/0!</v>
      </c>
      <c r="V20" s="160" t="e">
        <f t="shared" ref="V20:V83" si="45">IMARGUMENT(T20)</f>
        <v>#DIV/0!</v>
      </c>
      <c r="W20" s="98" t="str">
        <f t="shared" si="35"/>
        <v>1-0.000524288184531138i</v>
      </c>
      <c r="X20" s="160">
        <f t="shared" ref="X20:X83" si="46">IMABS(W20)</f>
        <v>1.0000001374390408</v>
      </c>
      <c r="Y20" s="160">
        <f t="shared" ref="Y20:Y83" si="47">IMARGUMENT(W20)</f>
        <v>-5.2428813649269923E-4</v>
      </c>
      <c r="Z20" s="98" t="str">
        <f t="shared" si="36"/>
        <v>0.999999997734549+0.0000622579256436787i</v>
      </c>
      <c r="AA20" s="160">
        <f t="shared" ref="AA20:AA83" si="48">IMABS(Z20)</f>
        <v>0.99999999967257358</v>
      </c>
      <c r="AB20" s="160">
        <f t="shared" ref="AB20:AB83" si="49">IMARGUMENT(Z20)</f>
        <v>6.2257925704282729E-5</v>
      </c>
      <c r="AC20" s="171" t="e">
        <f t="shared" ref="AC20:AC83" si="50">(IMDIV(IMPRODUCT(P20,T20,W20),IMPRODUCT(Q20,Z20)))</f>
        <v>#DIV/0!</v>
      </c>
      <c r="AD20" s="190" t="e">
        <f t="shared" ref="AD20:AD83" si="51">20*LOG(IMABS(AC20))</f>
        <v>#DIV/0!</v>
      </c>
      <c r="AE20" s="169" t="e">
        <f t="shared" ref="AE20:AE83" si="52">(180/PI())*IMARGUMENT(AC20)</f>
        <v>#DIV/0!</v>
      </c>
      <c r="AF20" s="98" t="str">
        <f t="shared" si="37"/>
        <v>-0.0000182926829268293</v>
      </c>
      <c r="AG20" s="98" t="str">
        <f t="shared" si="38"/>
        <v>1.46192106168243E-06i</v>
      </c>
      <c r="AH20" s="98">
        <f t="shared" ref="AH20:AH83" si="53">IMABS(AG20)</f>
        <v>1.4619210616824301E-6</v>
      </c>
      <c r="AI20" s="98">
        <f t="shared" ref="AI20:AI83" si="54">IMARGUMENT(AG20)</f>
        <v>1.5707963267948966</v>
      </c>
      <c r="AJ20" s="98" t="str">
        <f t="shared" si="39"/>
        <v>1+0.000143311544131206i</v>
      </c>
      <c r="AK20" s="98">
        <f t="shared" ref="AK20:AK83" si="55">IMABS(AJ20)</f>
        <v>1.0000000102690993</v>
      </c>
      <c r="AL20" s="98">
        <f t="shared" ref="AL20:AL83" si="56">IMARGUMENT(AJ20)</f>
        <v>1.4331154315008567E-4</v>
      </c>
      <c r="AM20" s="98" t="str">
        <f t="shared" si="40"/>
        <v>1+0.0144744659572517i</v>
      </c>
      <c r="AN20" s="98">
        <f t="shared" ref="AN20:AN83" si="57">IMABS(AM20)</f>
        <v>1.0001047495961348</v>
      </c>
      <c r="AO20" s="98">
        <f t="shared" ref="AO20:AO83" si="58">IMARGUMENT(AM20)</f>
        <v>1.447345523505349E-2</v>
      </c>
      <c r="AP20" s="168" t="str">
        <f t="shared" ref="AP20:AP83" si="59">IMPRODUCT(AF20,IMDIV(AM20,IMPRODUCT(AG20,AJ20)))</f>
        <v>-0.179322444379281+12.5127963309129i</v>
      </c>
      <c r="AQ20" s="98">
        <f t="shared" ref="AQ20:AQ83" si="60">20*LOG(IMABS(AP20))</f>
        <v>21.947979380765887</v>
      </c>
      <c r="AR20" s="169">
        <f t="shared" ref="AR20:AR83" si="61">(180/PI())*IMARGUMENT(AP20)</f>
        <v>90.821056753362072</v>
      </c>
      <c r="AS20" s="168" t="e">
        <f t="shared" ref="AS20:AS83" si="62">IMPRODUCT(AC20,AP20)</f>
        <v>#DIV/0!</v>
      </c>
      <c r="AT20" s="190" t="e">
        <f t="shared" ref="AT20:AT83" si="63">20*LOG(IMABS(AS20))</f>
        <v>#DIV/0!</v>
      </c>
      <c r="AU20" s="169" t="e">
        <f t="shared" ref="AU20:AU83" si="64">(180/PI())*IMARGUMENT(AS20)</f>
        <v>#DIV/0!</v>
      </c>
      <c r="AV20" s="225"/>
      <c r="AX20" t="e">
        <f t="shared" ref="AX20:AX83" si="65">SUM((AT21&lt;0)*(AT20&gt;0))*O20</f>
        <v>#DIV/0!</v>
      </c>
      <c r="AY20" t="e">
        <f t="shared" ref="AY20:AY83" si="66">IF(AX20&gt;0,AU20,0)</f>
        <v>#DIV/0!</v>
      </c>
    </row>
    <row r="21" spans="1:51" x14ac:dyDescent="0.25">
      <c r="A21" s="98" t="s">
        <v>33</v>
      </c>
      <c r="B21" s="205">
        <f>IOUT</f>
        <v>0.05</v>
      </c>
      <c r="C21" s="98" t="s">
        <v>11</v>
      </c>
      <c r="E21" s="98" t="s">
        <v>34</v>
      </c>
      <c r="N21" s="170">
        <v>3</v>
      </c>
      <c r="O21" s="199">
        <f t="shared" si="41"/>
        <v>10.715193052376069</v>
      </c>
      <c r="P21" s="189" t="str">
        <f t="shared" si="32"/>
        <v>290</v>
      </c>
      <c r="Q21" s="160" t="e">
        <f t="shared" si="33"/>
        <v>#DIV/0!</v>
      </c>
      <c r="R21" s="160" t="e">
        <f t="shared" si="42"/>
        <v>#DIV/0!</v>
      </c>
      <c r="S21" s="160" t="e">
        <f t="shared" si="43"/>
        <v>#DIV/0!</v>
      </c>
      <c r="T21" s="160" t="e">
        <f t="shared" si="34"/>
        <v>#DIV/0!</v>
      </c>
      <c r="U21" s="160" t="e">
        <f t="shared" si="44"/>
        <v>#DIV/0!</v>
      </c>
      <c r="V21" s="160" t="e">
        <f t="shared" si="45"/>
        <v>#DIV/0!</v>
      </c>
      <c r="W21" s="98" t="str">
        <f t="shared" si="35"/>
        <v>1-0.000536500425166312i</v>
      </c>
      <c r="X21" s="160">
        <f t="shared" si="46"/>
        <v>1.0000001439163426</v>
      </c>
      <c r="Y21" s="160">
        <f t="shared" si="47"/>
        <v>-5.3650037369219782E-4</v>
      </c>
      <c r="Z21" s="98" t="str">
        <f t="shared" si="36"/>
        <v>0.999999997627782+0.0000637080990251126i</v>
      </c>
      <c r="AA21" s="160">
        <f t="shared" si="48"/>
        <v>0.99999999965714292</v>
      </c>
      <c r="AB21" s="160">
        <f t="shared" si="49"/>
        <v>6.3708099090050937E-5</v>
      </c>
      <c r="AC21" s="171" t="e">
        <f t="shared" si="50"/>
        <v>#DIV/0!</v>
      </c>
      <c r="AD21" s="190" t="e">
        <f t="shared" si="51"/>
        <v>#DIV/0!</v>
      </c>
      <c r="AE21" s="169" t="e">
        <f t="shared" si="52"/>
        <v>#DIV/0!</v>
      </c>
      <c r="AF21" s="98" t="str">
        <f t="shared" si="37"/>
        <v>-0.0000182926829268293</v>
      </c>
      <c r="AG21" s="98" t="str">
        <f t="shared" si="38"/>
        <v>1.49597357768727E-06i</v>
      </c>
      <c r="AH21" s="98">
        <f t="shared" si="53"/>
        <v>1.49597357768727E-6</v>
      </c>
      <c r="AI21" s="98">
        <f t="shared" si="54"/>
        <v>1.5707963267948966</v>
      </c>
      <c r="AJ21" s="98" t="str">
        <f t="shared" si="39"/>
        <v>1+0.000146649698822397i</v>
      </c>
      <c r="AK21" s="98">
        <f t="shared" si="55"/>
        <v>1.0000000107530671</v>
      </c>
      <c r="AL21" s="98">
        <f t="shared" si="56"/>
        <v>1.4664969777110766E-4</v>
      </c>
      <c r="AM21" s="98" t="str">
        <f t="shared" si="40"/>
        <v>1+0.014811619581062i</v>
      </c>
      <c r="AN21" s="98">
        <f t="shared" si="57"/>
        <v>1.0001096860217953</v>
      </c>
      <c r="AO21" s="98">
        <f t="shared" si="58"/>
        <v>1.4810536579129344E-2</v>
      </c>
      <c r="AP21" s="168" t="str">
        <f t="shared" si="59"/>
        <v>-0.179322444205709+12.2279714963935i</v>
      </c>
      <c r="AQ21" s="98">
        <f t="shared" si="60"/>
        <v>21.74802224921395</v>
      </c>
      <c r="AR21" s="169">
        <f t="shared" si="61"/>
        <v>90.840178829559079</v>
      </c>
      <c r="AS21" s="168" t="e">
        <f t="shared" si="62"/>
        <v>#DIV/0!</v>
      </c>
      <c r="AT21" s="190" t="e">
        <f t="shared" si="63"/>
        <v>#DIV/0!</v>
      </c>
      <c r="AU21" s="169" t="e">
        <f t="shared" si="64"/>
        <v>#DIV/0!</v>
      </c>
      <c r="AV21" s="225"/>
      <c r="AX21" t="e">
        <f t="shared" si="65"/>
        <v>#DIV/0!</v>
      </c>
      <c r="AY21" t="e">
        <f t="shared" si="66"/>
        <v>#DIV/0!</v>
      </c>
    </row>
    <row r="22" spans="1:51" x14ac:dyDescent="0.25">
      <c r="N22" s="170">
        <v>4</v>
      </c>
      <c r="O22" s="199">
        <f t="shared" si="41"/>
        <v>10.964781961431854</v>
      </c>
      <c r="P22" s="189" t="str">
        <f t="shared" si="32"/>
        <v>290</v>
      </c>
      <c r="Q22" s="160" t="e">
        <f t="shared" si="33"/>
        <v>#DIV/0!</v>
      </c>
      <c r="R22" s="160" t="e">
        <f t="shared" si="42"/>
        <v>#DIV/0!</v>
      </c>
      <c r="S22" s="160" t="e">
        <f t="shared" si="43"/>
        <v>#DIV/0!</v>
      </c>
      <c r="T22" s="160" t="e">
        <f t="shared" si="34"/>
        <v>#DIV/0!</v>
      </c>
      <c r="U22" s="160" t="e">
        <f t="shared" si="44"/>
        <v>#DIV/0!</v>
      </c>
      <c r="V22" s="160" t="e">
        <f t="shared" si="45"/>
        <v>#DIV/0!</v>
      </c>
      <c r="W22" s="98" t="str">
        <f t="shared" si="35"/>
        <v>1-0.000548997125428332i</v>
      </c>
      <c r="X22" s="160">
        <f t="shared" si="46"/>
        <v>1.0000001506989105</v>
      </c>
      <c r="Y22" s="160">
        <f t="shared" si="47"/>
        <v>-5.4899707027282528E-4</v>
      </c>
      <c r="Z22" s="98" t="str">
        <f t="shared" si="36"/>
        <v>0.999999997515983+0.0000651920512839261i</v>
      </c>
      <c r="AA22" s="160">
        <f t="shared" si="48"/>
        <v>0.99999999964098474</v>
      </c>
      <c r="AB22" s="160">
        <f t="shared" si="49"/>
        <v>6.5192051353508775E-5</v>
      </c>
      <c r="AC22" s="171" t="e">
        <f t="shared" si="50"/>
        <v>#DIV/0!</v>
      </c>
      <c r="AD22" s="190" t="e">
        <f t="shared" si="51"/>
        <v>#DIV/0!</v>
      </c>
      <c r="AE22" s="169" t="e">
        <f t="shared" si="52"/>
        <v>#DIV/0!</v>
      </c>
      <c r="AF22" s="98" t="str">
        <f t="shared" si="37"/>
        <v>-0.0000182926829268293</v>
      </c>
      <c r="AG22" s="98" t="str">
        <f t="shared" si="38"/>
        <v>1.53081927868455E-06i</v>
      </c>
      <c r="AH22" s="98">
        <f t="shared" si="53"/>
        <v>1.5308192786845501E-6</v>
      </c>
      <c r="AI22" s="98">
        <f t="shared" si="54"/>
        <v>1.5707963267948966</v>
      </c>
      <c r="AJ22" s="98" t="str">
        <f t="shared" si="39"/>
        <v>1+0.000150065609125042i</v>
      </c>
      <c r="AK22" s="98">
        <f t="shared" si="55"/>
        <v>1.0000000112598435</v>
      </c>
      <c r="AL22" s="98">
        <f t="shared" si="56"/>
        <v>1.5006560799856516E-4</v>
      </c>
      <c r="AM22" s="98" t="str">
        <f t="shared" si="40"/>
        <v>1+0.0151566265216292i</v>
      </c>
      <c r="AN22" s="98">
        <f t="shared" si="57"/>
        <v>1.0001148550679149</v>
      </c>
      <c r="AO22" s="98">
        <f t="shared" si="58"/>
        <v>1.5155466071348345E-2</v>
      </c>
      <c r="AP22" s="168" t="str">
        <f t="shared" si="59"/>
        <v>-0.179322444023957+11.9496300942179i</v>
      </c>
      <c r="AQ22" s="98">
        <f t="shared" si="60"/>
        <v>21.548067137536165</v>
      </c>
      <c r="AR22" s="169">
        <f t="shared" si="61"/>
        <v>90.859746116453593</v>
      </c>
      <c r="AS22" s="168" t="e">
        <f t="shared" si="62"/>
        <v>#DIV/0!</v>
      </c>
      <c r="AT22" s="190" t="e">
        <f t="shared" si="63"/>
        <v>#DIV/0!</v>
      </c>
      <c r="AU22" s="169" t="e">
        <f t="shared" si="64"/>
        <v>#DIV/0!</v>
      </c>
      <c r="AV22" s="225"/>
      <c r="AX22" t="e">
        <f t="shared" si="65"/>
        <v>#DIV/0!</v>
      </c>
      <c r="AY22" t="e">
        <f t="shared" si="66"/>
        <v>#DIV/0!</v>
      </c>
    </row>
    <row r="23" spans="1:51" x14ac:dyDescent="0.25">
      <c r="A23" s="98" t="s">
        <v>207</v>
      </c>
      <c r="N23" s="170">
        <v>5</v>
      </c>
      <c r="O23" s="199">
        <f t="shared" si="41"/>
        <v>11.220184543019636</v>
      </c>
      <c r="P23" s="189" t="str">
        <f t="shared" si="32"/>
        <v>290</v>
      </c>
      <c r="Q23" s="160" t="e">
        <f t="shared" si="33"/>
        <v>#DIV/0!</v>
      </c>
      <c r="R23" s="160" t="e">
        <f t="shared" si="42"/>
        <v>#DIV/0!</v>
      </c>
      <c r="S23" s="160" t="e">
        <f t="shared" si="43"/>
        <v>#DIV/0!</v>
      </c>
      <c r="T23" s="160" t="e">
        <f t="shared" si="34"/>
        <v>#DIV/0!</v>
      </c>
      <c r="U23" s="160" t="e">
        <f t="shared" si="44"/>
        <v>#DIV/0!</v>
      </c>
      <c r="V23" s="160" t="e">
        <f t="shared" si="45"/>
        <v>#DIV/0!</v>
      </c>
      <c r="W23" s="98" t="str">
        <f t="shared" si="35"/>
        <v>1-0.000561784911233091i</v>
      </c>
      <c r="X23" s="160">
        <f t="shared" si="46"/>
        <v>1.0000001578011308</v>
      </c>
      <c r="Y23" s="160">
        <f t="shared" si="47"/>
        <v>-5.6178485213290131E-4</v>
      </c>
      <c r="Z23" s="98" t="str">
        <f t="shared" si="36"/>
        <v>0.999999997398914+0.0000667105692312491i</v>
      </c>
      <c r="AA23" s="160">
        <f t="shared" si="48"/>
        <v>0.99999999962406405</v>
      </c>
      <c r="AB23" s="160">
        <f t="shared" si="49"/>
        <v>6.6710569305808337E-5</v>
      </c>
      <c r="AC23" s="171" t="e">
        <f t="shared" si="50"/>
        <v>#DIV/0!</v>
      </c>
      <c r="AD23" s="190" t="e">
        <f t="shared" si="51"/>
        <v>#DIV/0!</v>
      </c>
      <c r="AE23" s="169" t="e">
        <f t="shared" si="52"/>
        <v>#DIV/0!</v>
      </c>
      <c r="AF23" s="98" t="str">
        <f t="shared" si="37"/>
        <v>-0.0000182926829268293</v>
      </c>
      <c r="AG23" s="98" t="str">
        <f t="shared" si="38"/>
        <v>1.56647664032618E-06i</v>
      </c>
      <c r="AH23" s="98">
        <f t="shared" si="53"/>
        <v>1.56647664032618E-6</v>
      </c>
      <c r="AI23" s="98">
        <f t="shared" si="54"/>
        <v>1.5707963267948966</v>
      </c>
      <c r="AJ23" s="98" t="str">
        <f t="shared" si="39"/>
        <v>1+0.000153561086199998i</v>
      </c>
      <c r="AK23" s="98">
        <f t="shared" si="55"/>
        <v>1.0000000117905035</v>
      </c>
      <c r="AL23" s="98">
        <f t="shared" si="56"/>
        <v>1.5356108499295631E-4</v>
      </c>
      <c r="AM23" s="98" t="str">
        <f t="shared" si="40"/>
        <v>1+0.0155096697061998i</v>
      </c>
      <c r="AN23" s="98">
        <f t="shared" si="57"/>
        <v>1.0001202676950385</v>
      </c>
      <c r="AO23" s="98">
        <f t="shared" si="58"/>
        <v>1.5508426269396809E-2</v>
      </c>
      <c r="AP23" s="168" t="str">
        <f t="shared" si="59"/>
        <v>-0.179322443833638+11.6776245440903i</v>
      </c>
      <c r="AQ23" s="98">
        <f t="shared" si="60"/>
        <v>21.348114140882458</v>
      </c>
      <c r="AR23" s="169">
        <f t="shared" si="61"/>
        <v>90.879768970058706</v>
      </c>
      <c r="AS23" s="168" t="e">
        <f t="shared" si="62"/>
        <v>#DIV/0!</v>
      </c>
      <c r="AT23" s="190" t="e">
        <f t="shared" si="63"/>
        <v>#DIV/0!</v>
      </c>
      <c r="AU23" s="169" t="e">
        <f t="shared" si="64"/>
        <v>#DIV/0!</v>
      </c>
      <c r="AV23" s="225"/>
      <c r="AX23" t="e">
        <f t="shared" si="65"/>
        <v>#DIV/0!</v>
      </c>
      <c r="AY23" t="e">
        <f t="shared" si="66"/>
        <v>#DIV/0!</v>
      </c>
    </row>
    <row r="24" spans="1:51" x14ac:dyDescent="0.25">
      <c r="A24" s="98" t="s">
        <v>208</v>
      </c>
      <c r="B24" s="205">
        <f>Lm</f>
        <v>6.7999999999999994E-4</v>
      </c>
      <c r="C24" s="98" t="s">
        <v>98</v>
      </c>
      <c r="E24" s="98" t="s">
        <v>209</v>
      </c>
      <c r="N24" s="170">
        <v>6</v>
      </c>
      <c r="O24" s="199">
        <f t="shared" si="41"/>
        <v>11.481536214968834</v>
      </c>
      <c r="P24" s="189" t="str">
        <f t="shared" si="32"/>
        <v>290</v>
      </c>
      <c r="Q24" s="160" t="e">
        <f t="shared" si="33"/>
        <v>#DIV/0!</v>
      </c>
      <c r="R24" s="160" t="e">
        <f t="shared" si="42"/>
        <v>#DIV/0!</v>
      </c>
      <c r="S24" s="160" t="e">
        <f t="shared" si="43"/>
        <v>#DIV/0!</v>
      </c>
      <c r="T24" s="160" t="e">
        <f t="shared" si="34"/>
        <v>#DIV/0!</v>
      </c>
      <c r="U24" s="160" t="e">
        <f t="shared" si="44"/>
        <v>#DIV/0!</v>
      </c>
      <c r="V24" s="160" t="e">
        <f t="shared" si="45"/>
        <v>#DIV/0!</v>
      </c>
      <c r="W24" s="98" t="str">
        <f t="shared" si="35"/>
        <v>1-0.000574870562833887i</v>
      </c>
      <c r="X24" s="160">
        <f t="shared" si="46"/>
        <v>1.0000001652380683</v>
      </c>
      <c r="Y24" s="160">
        <f t="shared" si="47"/>
        <v>-5.7487049950689342E-4</v>
      </c>
      <c r="Z24" s="98" t="str">
        <f t="shared" si="36"/>
        <v>0.999999997276329+0.0000682644580053973i</v>
      </c>
      <c r="AA24" s="160">
        <f t="shared" si="48"/>
        <v>0.99999999960634722</v>
      </c>
      <c r="AB24" s="160">
        <f t="shared" si="49"/>
        <v>6.8264458085288949E-5</v>
      </c>
      <c r="AC24" s="171" t="e">
        <f t="shared" si="50"/>
        <v>#DIV/0!</v>
      </c>
      <c r="AD24" s="190" t="e">
        <f t="shared" si="51"/>
        <v>#DIV/0!</v>
      </c>
      <c r="AE24" s="169" t="e">
        <f t="shared" si="52"/>
        <v>#DIV/0!</v>
      </c>
      <c r="AF24" s="98" t="str">
        <f t="shared" si="37"/>
        <v>-0.0000182926829268293</v>
      </c>
      <c r="AG24" s="98" t="str">
        <f t="shared" si="38"/>
        <v>1.60296456861728E-06i</v>
      </c>
      <c r="AH24" s="98">
        <f t="shared" si="53"/>
        <v>1.6029645686172801E-6</v>
      </c>
      <c r="AI24" s="98">
        <f t="shared" si="54"/>
        <v>1.5707963267948966</v>
      </c>
      <c r="AJ24" s="98" t="str">
        <f t="shared" si="39"/>
        <v>1+0.000157137983395479i</v>
      </c>
      <c r="AK24" s="98">
        <f t="shared" si="55"/>
        <v>1.0000000123461728</v>
      </c>
      <c r="AL24" s="98">
        <f t="shared" si="56"/>
        <v>1.5713798210211053E-4</v>
      </c>
      <c r="AM24" s="98" t="str">
        <f t="shared" si="40"/>
        <v>1+0.0158709363229433i</v>
      </c>
      <c r="AN24" s="98">
        <f t="shared" si="57"/>
        <v>1.0001259353800236</v>
      </c>
      <c r="AO24" s="98">
        <f t="shared" si="58"/>
        <v>1.586960396546501E-2</v>
      </c>
      <c r="AP24" s="168" t="str">
        <f t="shared" si="59"/>
        <v>-0.179322443634349+11.4118106250675i</v>
      </c>
      <c r="AQ24" s="98">
        <f t="shared" si="60"/>
        <v>21.148163358882798</v>
      </c>
      <c r="AR24" s="169">
        <f t="shared" si="61"/>
        <v>90.900257986589565</v>
      </c>
      <c r="AS24" s="168" t="e">
        <f t="shared" si="62"/>
        <v>#DIV/0!</v>
      </c>
      <c r="AT24" s="190" t="e">
        <f t="shared" si="63"/>
        <v>#DIV/0!</v>
      </c>
      <c r="AU24" s="169" t="e">
        <f t="shared" si="64"/>
        <v>#DIV/0!</v>
      </c>
      <c r="AV24" s="225"/>
      <c r="AX24" t="e">
        <f t="shared" si="65"/>
        <v>#DIV/0!</v>
      </c>
      <c r="AY24" t="e">
        <f t="shared" si="66"/>
        <v>#DIV/0!</v>
      </c>
    </row>
    <row r="25" spans="1:51" x14ac:dyDescent="0.25">
      <c r="N25" s="170">
        <v>7</v>
      </c>
      <c r="O25" s="199">
        <f t="shared" si="41"/>
        <v>11.748975549395301</v>
      </c>
      <c r="P25" s="189" t="str">
        <f t="shared" si="32"/>
        <v>290</v>
      </c>
      <c r="Q25" s="160" t="e">
        <f t="shared" si="33"/>
        <v>#DIV/0!</v>
      </c>
      <c r="R25" s="160" t="e">
        <f t="shared" si="42"/>
        <v>#DIV/0!</v>
      </c>
      <c r="S25" s="160" t="e">
        <f t="shared" si="43"/>
        <v>#DIV/0!</v>
      </c>
      <c r="T25" s="160" t="e">
        <f t="shared" si="34"/>
        <v>#DIV/0!</v>
      </c>
      <c r="U25" s="160" t="e">
        <f t="shared" si="44"/>
        <v>#DIV/0!</v>
      </c>
      <c r="V25" s="160" t="e">
        <f t="shared" si="45"/>
        <v>#DIV/0!</v>
      </c>
      <c r="W25" s="98" t="str">
        <f t="shared" si="35"/>
        <v>1-0.00058826101841641i</v>
      </c>
      <c r="X25" s="160">
        <f t="shared" si="46"/>
        <v>1.0000001730254979</v>
      </c>
      <c r="Y25" s="160">
        <f t="shared" si="47"/>
        <v>-5.8826095056031444E-4</v>
      </c>
      <c r="Z25" s="98" t="str">
        <f t="shared" si="36"/>
        <v>0.999999997147966+0.0000698545414987669i</v>
      </c>
      <c r="AA25" s="160">
        <f t="shared" si="48"/>
        <v>0.99999999958779429</v>
      </c>
      <c r="AB25" s="160">
        <f t="shared" si="49"/>
        <v>6.9854541584372359E-5</v>
      </c>
      <c r="AC25" s="171" t="e">
        <f t="shared" si="50"/>
        <v>#DIV/0!</v>
      </c>
      <c r="AD25" s="190" t="e">
        <f t="shared" si="51"/>
        <v>#DIV/0!</v>
      </c>
      <c r="AE25" s="169" t="e">
        <f t="shared" si="52"/>
        <v>#DIV/0!</v>
      </c>
      <c r="AF25" s="98" t="str">
        <f t="shared" si="37"/>
        <v>-0.0000182926829268293</v>
      </c>
      <c r="AG25" s="98" t="str">
        <f t="shared" si="38"/>
        <v>0.0000016403024099404i</v>
      </c>
      <c r="AH25" s="98">
        <f t="shared" si="53"/>
        <v>1.6403024099404001E-6</v>
      </c>
      <c r="AI25" s="98">
        <f t="shared" si="54"/>
        <v>1.5707963267948966</v>
      </c>
      <c r="AJ25" s="98" t="str">
        <f t="shared" si="39"/>
        <v>1+0.000160798197229723i</v>
      </c>
      <c r="AK25" s="98">
        <f t="shared" si="55"/>
        <v>1.00000001292803</v>
      </c>
      <c r="AL25" s="98">
        <f t="shared" si="56"/>
        <v>1.6079819584385375E-4</v>
      </c>
      <c r="AM25" s="98" t="str">
        <f t="shared" si="40"/>
        <v>1+0.016240617920202i</v>
      </c>
      <c r="AN25" s="98">
        <f t="shared" si="57"/>
        <v>1.0001318701403481</v>
      </c>
      <c r="AO25" s="98">
        <f t="shared" si="58"/>
        <v>1.6239190283608925E-2</v>
      </c>
      <c r="AP25" s="168" t="str">
        <f t="shared" si="59"/>
        <v>-0.17932244342567+11.1520473990914i</v>
      </c>
      <c r="AQ25" s="98">
        <f t="shared" si="60"/>
        <v>20.948214895858182</v>
      </c>
      <c r="AR25" s="169">
        <f t="shared" si="61"/>
        <v>90.921224007985472</v>
      </c>
      <c r="AS25" s="168" t="e">
        <f t="shared" si="62"/>
        <v>#DIV/0!</v>
      </c>
      <c r="AT25" s="190" t="e">
        <f t="shared" si="63"/>
        <v>#DIV/0!</v>
      </c>
      <c r="AU25" s="169" t="e">
        <f t="shared" si="64"/>
        <v>#DIV/0!</v>
      </c>
      <c r="AV25" s="225"/>
      <c r="AX25" t="e">
        <f t="shared" si="65"/>
        <v>#DIV/0!</v>
      </c>
      <c r="AY25" t="e">
        <f t="shared" si="66"/>
        <v>#DIV/0!</v>
      </c>
    </row>
    <row r="26" spans="1:51" x14ac:dyDescent="0.25">
      <c r="A26" s="98" t="s">
        <v>160</v>
      </c>
      <c r="B26" s="205">
        <f>R_cs</f>
        <v>0.12</v>
      </c>
      <c r="C26" s="206" t="s">
        <v>36</v>
      </c>
      <c r="E26" s="98" t="s">
        <v>210</v>
      </c>
      <c r="N26" s="170">
        <v>8</v>
      </c>
      <c r="O26" s="199">
        <f t="shared" si="41"/>
        <v>12.022644346174133</v>
      </c>
      <c r="P26" s="189" t="str">
        <f t="shared" si="32"/>
        <v>290</v>
      </c>
      <c r="Q26" s="160" t="e">
        <f t="shared" si="33"/>
        <v>#DIV/0!</v>
      </c>
      <c r="R26" s="160" t="e">
        <f t="shared" si="42"/>
        <v>#DIV/0!</v>
      </c>
      <c r="S26" s="160" t="e">
        <f t="shared" si="43"/>
        <v>#DIV/0!</v>
      </c>
      <c r="T26" s="160" t="e">
        <f t="shared" si="34"/>
        <v>#DIV/0!</v>
      </c>
      <c r="U26" s="160" t="e">
        <f t="shared" si="44"/>
        <v>#DIV/0!</v>
      </c>
      <c r="V26" s="160" t="e">
        <f t="shared" si="45"/>
        <v>#DIV/0!</v>
      </c>
      <c r="W26" s="98" t="str">
        <f t="shared" si="35"/>
        <v>1-0.000601963377777451i</v>
      </c>
      <c r="X26" s="160">
        <f t="shared" si="46"/>
        <v>1.0000001811799377</v>
      </c>
      <c r="Y26" s="160">
        <f t="shared" si="47"/>
        <v>-6.0196330506833535E-4</v>
      </c>
      <c r="Z26" s="98" t="str">
        <f t="shared" si="36"/>
        <v>0.999999997013554+0.0000714816627946733i</v>
      </c>
      <c r="AA26" s="160">
        <f t="shared" si="48"/>
        <v>0.99999999956836794</v>
      </c>
      <c r="AB26" s="160">
        <f t="shared" si="49"/>
        <v>7.1481662886401195E-5</v>
      </c>
      <c r="AC26" s="171" t="e">
        <f t="shared" si="50"/>
        <v>#DIV/0!</v>
      </c>
      <c r="AD26" s="190" t="e">
        <f t="shared" si="51"/>
        <v>#DIV/0!</v>
      </c>
      <c r="AE26" s="169" t="e">
        <f t="shared" si="52"/>
        <v>#DIV/0!</v>
      </c>
      <c r="AF26" s="98" t="str">
        <f t="shared" si="37"/>
        <v>-0.0000182926829268293</v>
      </c>
      <c r="AG26" s="98" t="str">
        <f t="shared" si="38"/>
        <v>1.67850996131325E-06i</v>
      </c>
      <c r="AH26" s="98">
        <f t="shared" si="53"/>
        <v>1.6785099613132501E-6</v>
      </c>
      <c r="AI26" s="98">
        <f t="shared" si="54"/>
        <v>1.5707963267948966</v>
      </c>
      <c r="AJ26" s="98" t="str">
        <f t="shared" si="39"/>
        <v>1+0.000164543668396554i</v>
      </c>
      <c r="AK26" s="98">
        <f t="shared" si="55"/>
        <v>1.0000000135373093</v>
      </c>
      <c r="AL26" s="98">
        <f t="shared" si="56"/>
        <v>1.6454366691156833E-4</v>
      </c>
      <c r="AM26" s="98" t="str">
        <f t="shared" si="40"/>
        <v>1+0.0166189105080519i</v>
      </c>
      <c r="AN26" s="98">
        <f t="shared" si="57"/>
        <v>1.0001380845595644</v>
      </c>
      <c r="AO26" s="98">
        <f t="shared" si="58"/>
        <v>1.6617380779288239E-2</v>
      </c>
      <c r="AP26" s="168" t="str">
        <f t="shared" si="59"/>
        <v>-0.179322443207154+10.898197136261i</v>
      </c>
      <c r="AQ26" s="98">
        <f t="shared" si="60"/>
        <v>20.7482688610407</v>
      </c>
      <c r="AR26" s="169">
        <f t="shared" si="61"/>
        <v>90.942678127555396</v>
      </c>
      <c r="AS26" s="168" t="e">
        <f t="shared" si="62"/>
        <v>#DIV/0!</v>
      </c>
      <c r="AT26" s="190" t="e">
        <f t="shared" si="63"/>
        <v>#DIV/0!</v>
      </c>
      <c r="AU26" s="169" t="e">
        <f t="shared" si="64"/>
        <v>#DIV/0!</v>
      </c>
      <c r="AV26" s="225"/>
      <c r="AX26" t="e">
        <f t="shared" si="65"/>
        <v>#DIV/0!</v>
      </c>
      <c r="AY26" t="e">
        <f t="shared" si="66"/>
        <v>#DIV/0!</v>
      </c>
    </row>
    <row r="27" spans="1:51" x14ac:dyDescent="0.25">
      <c r="A27" s="98" t="s">
        <v>161</v>
      </c>
      <c r="B27" s="205">
        <f>R_sl</f>
        <v>0</v>
      </c>
      <c r="C27" s="206" t="s">
        <v>36</v>
      </c>
      <c r="E27" s="98" t="s">
        <v>211</v>
      </c>
      <c r="N27" s="170">
        <v>9</v>
      </c>
      <c r="O27" s="199">
        <f t="shared" si="41"/>
        <v>12.302687708123818</v>
      </c>
      <c r="P27" s="189" t="str">
        <f t="shared" si="32"/>
        <v>290</v>
      </c>
      <c r="Q27" s="160" t="e">
        <f t="shared" si="33"/>
        <v>#DIV/0!</v>
      </c>
      <c r="R27" s="160" t="e">
        <f t="shared" si="42"/>
        <v>#DIV/0!</v>
      </c>
      <c r="S27" s="160" t="e">
        <f t="shared" si="43"/>
        <v>#DIV/0!</v>
      </c>
      <c r="T27" s="160" t="e">
        <f t="shared" si="34"/>
        <v>#DIV/0!</v>
      </c>
      <c r="U27" s="160" t="e">
        <f t="shared" si="44"/>
        <v>#DIV/0!</v>
      </c>
      <c r="V27" s="160" t="e">
        <f t="shared" si="45"/>
        <v>#DIV/0!</v>
      </c>
      <c r="W27" s="98" t="str">
        <f t="shared" si="35"/>
        <v>1-0.000615984906089319i</v>
      </c>
      <c r="X27" s="160">
        <f t="shared" si="46"/>
        <v>1.0000001897186843</v>
      </c>
      <c r="Y27" s="160">
        <f t="shared" si="47"/>
        <v>-6.1598482818009869E-4</v>
      </c>
      <c r="Z27" s="98" t="str">
        <f t="shared" si="36"/>
        <v>0.999999996872807+0.0000731466846143651i</v>
      </c>
      <c r="AA27" s="160">
        <f t="shared" si="48"/>
        <v>0.99999999954802576</v>
      </c>
      <c r="AB27" s="160">
        <f t="shared" si="49"/>
        <v>7.314668471265331E-5</v>
      </c>
      <c r="AC27" s="171" t="e">
        <f t="shared" si="50"/>
        <v>#DIV/0!</v>
      </c>
      <c r="AD27" s="190" t="e">
        <f t="shared" si="51"/>
        <v>#DIV/0!</v>
      </c>
      <c r="AE27" s="169" t="e">
        <f t="shared" si="52"/>
        <v>#DIV/0!</v>
      </c>
      <c r="AF27" s="98" t="str">
        <f t="shared" si="37"/>
        <v>-0.0000182926829268293</v>
      </c>
      <c r="AG27" s="98" t="str">
        <f t="shared" si="38"/>
        <v>1.71760748088529E-06i</v>
      </c>
      <c r="AH27" s="98">
        <f t="shared" si="53"/>
        <v>1.7176074808852899E-6</v>
      </c>
      <c r="AI27" s="98">
        <f t="shared" si="54"/>
        <v>1.5707963267948966</v>
      </c>
      <c r="AJ27" s="98" t="str">
        <f t="shared" si="39"/>
        <v>1+0.000168376382794362i</v>
      </c>
      <c r="AK27" s="98">
        <f t="shared" si="55"/>
        <v>1.0000000141753032</v>
      </c>
      <c r="AL27" s="98">
        <f t="shared" si="56"/>
        <v>1.6837638120317116E-4</v>
      </c>
      <c r="AM27" s="98" t="str">
        <f t="shared" si="40"/>
        <v>1+0.0170060146622305i</v>
      </c>
      <c r="AN27" s="98">
        <f t="shared" si="57"/>
        <v>1.0001445918139498</v>
      </c>
      <c r="AO27" s="98">
        <f t="shared" si="58"/>
        <v>1.7004375541126736E-2</v>
      </c>
      <c r="AP27" s="168" t="str">
        <f t="shared" si="59"/>
        <v>-0.179322442978341+10.650125241807i</v>
      </c>
      <c r="AQ27" s="98">
        <f t="shared" si="60"/>
        <v>20.548325368805113</v>
      </c>
      <c r="AR27" s="169">
        <f t="shared" si="61"/>
        <v>90.964631695749418</v>
      </c>
      <c r="AS27" s="168" t="e">
        <f t="shared" si="62"/>
        <v>#DIV/0!</v>
      </c>
      <c r="AT27" s="190" t="e">
        <f t="shared" si="63"/>
        <v>#DIV/0!</v>
      </c>
      <c r="AU27" s="169" t="e">
        <f t="shared" si="64"/>
        <v>#DIV/0!</v>
      </c>
      <c r="AV27" s="225"/>
      <c r="AX27" t="e">
        <f t="shared" si="65"/>
        <v>#DIV/0!</v>
      </c>
      <c r="AY27" t="e">
        <f t="shared" si="66"/>
        <v>#DIV/0!</v>
      </c>
    </row>
    <row r="28" spans="1:51" x14ac:dyDescent="0.25">
      <c r="A28" s="98" t="s">
        <v>146</v>
      </c>
      <c r="B28" s="207">
        <f>Rsl_int</f>
        <v>1333</v>
      </c>
      <c r="C28" s="206" t="s">
        <v>36</v>
      </c>
      <c r="E28" s="98" t="s">
        <v>212</v>
      </c>
      <c r="N28" s="170">
        <v>10</v>
      </c>
      <c r="O28" s="199">
        <f t="shared" si="41"/>
        <v>12.58925411794168</v>
      </c>
      <c r="P28" s="189" t="str">
        <f t="shared" si="32"/>
        <v>290</v>
      </c>
      <c r="Q28" s="160" t="e">
        <f t="shared" si="33"/>
        <v>#DIV/0!</v>
      </c>
      <c r="R28" s="160" t="e">
        <f t="shared" si="42"/>
        <v>#DIV/0!</v>
      </c>
      <c r="S28" s="160" t="e">
        <f t="shared" si="43"/>
        <v>#DIV/0!</v>
      </c>
      <c r="T28" s="160" t="e">
        <f t="shared" si="34"/>
        <v>#DIV/0!</v>
      </c>
      <c r="U28" s="160" t="e">
        <f t="shared" si="44"/>
        <v>#DIV/0!</v>
      </c>
      <c r="V28" s="160" t="e">
        <f t="shared" si="45"/>
        <v>#DIV/0!</v>
      </c>
      <c r="W28" s="98" t="str">
        <f t="shared" si="35"/>
        <v>1-0.000630333037751919i</v>
      </c>
      <c r="X28" s="160">
        <f t="shared" si="46"/>
        <v>1.0000001986598495</v>
      </c>
      <c r="Y28" s="160">
        <f t="shared" si="47"/>
        <v>-6.3033295427068628E-4</v>
      </c>
      <c r="Z28" s="98" t="str">
        <f t="shared" si="36"/>
        <v>0.999999996725427+0.0000748504897744503i</v>
      </c>
      <c r="AA28" s="160">
        <f t="shared" si="48"/>
        <v>0.99999999952672491</v>
      </c>
      <c r="AB28" s="160">
        <f t="shared" si="49"/>
        <v>7.4850489879768007E-5</v>
      </c>
      <c r="AC28" s="171" t="e">
        <f t="shared" si="50"/>
        <v>#DIV/0!</v>
      </c>
      <c r="AD28" s="190" t="e">
        <f t="shared" si="51"/>
        <v>#DIV/0!</v>
      </c>
      <c r="AE28" s="169" t="e">
        <f t="shared" si="52"/>
        <v>#DIV/0!</v>
      </c>
      <c r="AF28" s="98" t="str">
        <f t="shared" si="37"/>
        <v>-0.0000182926829268293</v>
      </c>
      <c r="AG28" s="98" t="str">
        <f t="shared" si="38"/>
        <v>1.75761569867891E-06i</v>
      </c>
      <c r="AH28" s="98">
        <f t="shared" si="53"/>
        <v>1.7576156986789099E-6</v>
      </c>
      <c r="AI28" s="98">
        <f t="shared" si="54"/>
        <v>1.5707963267948966</v>
      </c>
      <c r="AJ28" s="98" t="str">
        <f t="shared" si="39"/>
        <v>1+0.000172298372579052i</v>
      </c>
      <c r="AK28" s="98">
        <f t="shared" si="55"/>
        <v>1.0000000148433645</v>
      </c>
      <c r="AL28" s="98">
        <f t="shared" si="56"/>
        <v>1.7229837087406034E-4</v>
      </c>
      <c r="AM28" s="98" t="str">
        <f t="shared" si="40"/>
        <v>1+0.0174021356304843i</v>
      </c>
      <c r="AN28" s="98">
        <f t="shared" si="57"/>
        <v>1.0001514057004077</v>
      </c>
      <c r="AO28" s="98">
        <f t="shared" si="58"/>
        <v>1.740037929493762E-2</v>
      </c>
      <c r="AP28" s="168" t="str">
        <f t="shared" si="59"/>
        <v>-0.179322442738746+10.4077001847273i</v>
      </c>
      <c r="AQ28" s="98">
        <f t="shared" si="60"/>
        <v>20.348384538910263</v>
      </c>
      <c r="AR28" s="169">
        <f t="shared" si="61"/>
        <v>90.987096326058676</v>
      </c>
      <c r="AS28" s="168" t="e">
        <f t="shared" si="62"/>
        <v>#DIV/0!</v>
      </c>
      <c r="AT28" s="190" t="e">
        <f t="shared" si="63"/>
        <v>#DIV/0!</v>
      </c>
      <c r="AU28" s="169" t="e">
        <f t="shared" si="64"/>
        <v>#DIV/0!</v>
      </c>
      <c r="AV28" s="225"/>
      <c r="AX28" t="e">
        <f t="shared" si="65"/>
        <v>#DIV/0!</v>
      </c>
      <c r="AY28" t="e">
        <f t="shared" si="66"/>
        <v>#DIV/0!</v>
      </c>
    </row>
    <row r="29" spans="1:51" x14ac:dyDescent="0.25">
      <c r="A29" s="98" t="s">
        <v>144</v>
      </c>
      <c r="B29" s="207">
        <f>Isl</f>
        <v>2.9999999999999997E-5</v>
      </c>
      <c r="C29" s="206" t="s">
        <v>11</v>
      </c>
      <c r="E29" s="98" t="s">
        <v>213</v>
      </c>
      <c r="N29" s="170">
        <v>11</v>
      </c>
      <c r="O29" s="199">
        <f t="shared" si="41"/>
        <v>12.882495516931346</v>
      </c>
      <c r="P29" s="189" t="str">
        <f t="shared" si="32"/>
        <v>290</v>
      </c>
      <c r="Q29" s="160" t="e">
        <f t="shared" si="33"/>
        <v>#DIV/0!</v>
      </c>
      <c r="R29" s="160" t="e">
        <f t="shared" si="42"/>
        <v>#DIV/0!</v>
      </c>
      <c r="S29" s="160" t="e">
        <f t="shared" si="43"/>
        <v>#DIV/0!</v>
      </c>
      <c r="T29" s="160" t="e">
        <f t="shared" si="34"/>
        <v>#DIV/0!</v>
      </c>
      <c r="U29" s="160" t="e">
        <f t="shared" si="44"/>
        <v>#DIV/0!</v>
      </c>
      <c r="V29" s="160" t="e">
        <f t="shared" si="45"/>
        <v>#DIV/0!</v>
      </c>
      <c r="W29" s="98" t="str">
        <f t="shared" si="35"/>
        <v>1-0.000645015380334578i</v>
      </c>
      <c r="X29" s="160">
        <f t="shared" si="46"/>
        <v>1.0000002080223989</v>
      </c>
      <c r="Y29" s="160">
        <f t="shared" si="47"/>
        <v>-6.4501529088282659E-4</v>
      </c>
      <c r="Z29" s="98" t="str">
        <f t="shared" si="36"/>
        <v>0.999999996571101+0.0000765939816549772i</v>
      </c>
      <c r="AA29" s="160">
        <f t="shared" si="48"/>
        <v>0.99999999950441987</v>
      </c>
      <c r="AB29" s="160">
        <f t="shared" si="49"/>
        <v>7.6593981767827168E-5</v>
      </c>
      <c r="AC29" s="171" t="e">
        <f t="shared" si="50"/>
        <v>#DIV/0!</v>
      </c>
      <c r="AD29" s="190" t="e">
        <f t="shared" si="51"/>
        <v>#DIV/0!</v>
      </c>
      <c r="AE29" s="169" t="e">
        <f t="shared" si="52"/>
        <v>#DIV/0!</v>
      </c>
      <c r="AF29" s="98" t="str">
        <f t="shared" si="37"/>
        <v>-0.0000182926829268293</v>
      </c>
      <c r="AG29" s="98" t="str">
        <f t="shared" si="38"/>
        <v>1.79855582758077E-06i</v>
      </c>
      <c r="AH29" s="98">
        <f t="shared" si="53"/>
        <v>1.79855582758077E-6</v>
      </c>
      <c r="AI29" s="98">
        <f t="shared" si="54"/>
        <v>1.5707963267948966</v>
      </c>
      <c r="AJ29" s="98" t="str">
        <f t="shared" si="39"/>
        <v>1+0.000176311717241523i</v>
      </c>
      <c r="AK29" s="98">
        <f t="shared" si="55"/>
        <v>1.0000000155429107</v>
      </c>
      <c r="AL29" s="98">
        <f t="shared" si="56"/>
        <v>1.7631171541459149E-4</v>
      </c>
      <c r="AM29" s="98" t="str">
        <f t="shared" si="40"/>
        <v>1+0.0178074834413938i</v>
      </c>
      <c r="AN29" s="98">
        <f t="shared" si="57"/>
        <v>1.0001585406656863</v>
      </c>
      <c r="AO29" s="98">
        <f t="shared" si="58"/>
        <v>1.7805601510060505E-2</v>
      </c>
      <c r="AP29" s="168" t="str">
        <f t="shared" si="59"/>
        <v>-0.179322442487857+10.1707934280477i</v>
      </c>
      <c r="AQ29" s="98">
        <f t="shared" si="60"/>
        <v>20.148446496752314</v>
      </c>
      <c r="AR29" s="169">
        <f t="shared" si="61"/>
        <v>91.010083901046272</v>
      </c>
      <c r="AS29" s="168" t="e">
        <f t="shared" si="62"/>
        <v>#DIV/0!</v>
      </c>
      <c r="AT29" s="190" t="e">
        <f t="shared" si="63"/>
        <v>#DIV/0!</v>
      </c>
      <c r="AU29" s="169" t="e">
        <f t="shared" si="64"/>
        <v>#DIV/0!</v>
      </c>
      <c r="AV29" s="225"/>
      <c r="AX29" t="e">
        <f t="shared" si="65"/>
        <v>#DIV/0!</v>
      </c>
      <c r="AY29" t="e">
        <f t="shared" si="66"/>
        <v>#DIV/0!</v>
      </c>
    </row>
    <row r="30" spans="1:51" x14ac:dyDescent="0.25">
      <c r="C30" s="206"/>
      <c r="N30" s="170">
        <v>12</v>
      </c>
      <c r="O30" s="199">
        <f t="shared" si="41"/>
        <v>13.182567385564075</v>
      </c>
      <c r="P30" s="189" t="str">
        <f t="shared" si="32"/>
        <v>290</v>
      </c>
      <c r="Q30" s="160" t="e">
        <f t="shared" si="33"/>
        <v>#DIV/0!</v>
      </c>
      <c r="R30" s="160" t="e">
        <f t="shared" si="42"/>
        <v>#DIV/0!</v>
      </c>
      <c r="S30" s="160" t="e">
        <f t="shared" si="43"/>
        <v>#DIV/0!</v>
      </c>
      <c r="T30" s="160" t="e">
        <f t="shared" si="34"/>
        <v>#DIV/0!</v>
      </c>
      <c r="U30" s="160" t="e">
        <f t="shared" si="44"/>
        <v>#DIV/0!</v>
      </c>
      <c r="V30" s="160" t="e">
        <f t="shared" si="45"/>
        <v>#DIV/0!</v>
      </c>
      <c r="W30" s="98" t="str">
        <f t="shared" si="35"/>
        <v>1-0.000660039718609679i</v>
      </c>
      <c r="X30" s="160">
        <f t="shared" si="46"/>
        <v>1.0000002178261913</v>
      </c>
      <c r="Y30" s="160">
        <f t="shared" si="47"/>
        <v>-6.6003962276040158E-4</v>
      </c>
      <c r="Z30" s="98" t="str">
        <f t="shared" si="36"/>
        <v>0.999999996409502+0.0000783780846784188i</v>
      </c>
      <c r="AA30" s="160">
        <f t="shared" si="48"/>
        <v>0.99999999948106411</v>
      </c>
      <c r="AB30" s="160">
        <f t="shared" si="49"/>
        <v>7.8378084799339724E-5</v>
      </c>
      <c r="AC30" s="171" t="e">
        <f t="shared" si="50"/>
        <v>#DIV/0!</v>
      </c>
      <c r="AD30" s="190" t="e">
        <f t="shared" si="51"/>
        <v>#DIV/0!</v>
      </c>
      <c r="AE30" s="169" t="e">
        <f t="shared" si="52"/>
        <v>#DIV/0!</v>
      </c>
      <c r="AF30" s="98" t="str">
        <f t="shared" si="37"/>
        <v>-0.0000182926829268293</v>
      </c>
      <c r="AG30" s="98" t="str">
        <f t="shared" si="38"/>
        <v>1.84044957458912E-06i</v>
      </c>
      <c r="AH30" s="98">
        <f t="shared" si="53"/>
        <v>1.8404495745891199E-6</v>
      </c>
      <c r="AI30" s="98">
        <f t="shared" si="54"/>
        <v>1.5707963267948966</v>
      </c>
      <c r="AJ30" s="98" t="str">
        <f t="shared" si="39"/>
        <v>1+0.000180418544710236i</v>
      </c>
      <c r="AK30" s="98">
        <f t="shared" si="55"/>
        <v>1.0000000162754255</v>
      </c>
      <c r="AL30" s="98">
        <f t="shared" si="56"/>
        <v>1.8041854275264362E-4</v>
      </c>
      <c r="AM30" s="98" t="str">
        <f t="shared" si="40"/>
        <v>1+0.0182222730157338i</v>
      </c>
      <c r="AN30" s="98">
        <f t="shared" si="57"/>
        <v>1.0001660118369651</v>
      </c>
      <c r="AO30" s="98">
        <f t="shared" si="58"/>
        <v>1.8220256508056004E-2</v>
      </c>
      <c r="AP30" s="168" t="str">
        <f t="shared" si="59"/>
        <v>-0.179322442225143+9.93927936066999i</v>
      </c>
      <c r="AQ30" s="98">
        <f t="shared" si="60"/>
        <v>19.948511373629941</v>
      </c>
      <c r="AR30" s="169">
        <f t="shared" si="61"/>
        <v>91.033606578511751</v>
      </c>
      <c r="AS30" s="168" t="e">
        <f t="shared" si="62"/>
        <v>#DIV/0!</v>
      </c>
      <c r="AT30" s="190" t="e">
        <f t="shared" si="63"/>
        <v>#DIV/0!</v>
      </c>
      <c r="AU30" s="169" t="e">
        <f t="shared" si="64"/>
        <v>#DIV/0!</v>
      </c>
      <c r="AV30" s="225"/>
      <c r="AX30" t="e">
        <f t="shared" si="65"/>
        <v>#DIV/0!</v>
      </c>
      <c r="AY30" t="e">
        <f t="shared" si="66"/>
        <v>#DIV/0!</v>
      </c>
    </row>
    <row r="31" spans="1:51" x14ac:dyDescent="0.25">
      <c r="A31" s="98" t="s">
        <v>236</v>
      </c>
      <c r="B31" s="207">
        <f>Gcomp</f>
        <v>0.14499999999999999</v>
      </c>
      <c r="C31" s="206"/>
      <c r="E31" s="98" t="s">
        <v>237</v>
      </c>
      <c r="N31" s="170">
        <v>13</v>
      </c>
      <c r="O31" s="199">
        <f t="shared" si="41"/>
        <v>13.489628825916535</v>
      </c>
      <c r="P31" s="189" t="str">
        <f t="shared" si="32"/>
        <v>290</v>
      </c>
      <c r="Q31" s="160" t="e">
        <f t="shared" si="33"/>
        <v>#DIV/0!</v>
      </c>
      <c r="R31" s="160" t="e">
        <f t="shared" si="42"/>
        <v>#DIV/0!</v>
      </c>
      <c r="S31" s="160" t="e">
        <f t="shared" si="43"/>
        <v>#DIV/0!</v>
      </c>
      <c r="T31" s="160" t="e">
        <f t="shared" si="34"/>
        <v>#DIV/0!</v>
      </c>
      <c r="U31" s="160" t="e">
        <f t="shared" si="44"/>
        <v>#DIV/0!</v>
      </c>
      <c r="V31" s="160" t="e">
        <f t="shared" si="45"/>
        <v>#DIV/0!</v>
      </c>
      <c r="W31" s="98" t="str">
        <f t="shared" si="35"/>
        <v>1-0.000675414018680245i</v>
      </c>
      <c r="X31" s="160">
        <f t="shared" si="46"/>
        <v>1.0000002280920224</v>
      </c>
      <c r="Y31" s="160">
        <f t="shared" si="47"/>
        <v>-6.754139159758951E-4</v>
      </c>
      <c r="Z31" s="98" t="str">
        <f t="shared" si="36"/>
        <v>0.999999996240287+0.0000802037447998135i</v>
      </c>
      <c r="AA31" s="160">
        <f t="shared" si="48"/>
        <v>0.99999999945660734</v>
      </c>
      <c r="AB31" s="160">
        <f t="shared" si="49"/>
        <v>8.0203744929382615E-5</v>
      </c>
      <c r="AC31" s="171" t="e">
        <f t="shared" si="50"/>
        <v>#DIV/0!</v>
      </c>
      <c r="AD31" s="190" t="e">
        <f t="shared" si="51"/>
        <v>#DIV/0!</v>
      </c>
      <c r="AE31" s="169" t="e">
        <f t="shared" si="52"/>
        <v>#DIV/0!</v>
      </c>
      <c r="AF31" s="98" t="str">
        <f t="shared" si="37"/>
        <v>-0.0000182926829268293</v>
      </c>
      <c r="AG31" s="98" t="str">
        <f t="shared" si="38"/>
        <v>1.88331915232314E-06i</v>
      </c>
      <c r="AH31" s="98">
        <f t="shared" si="53"/>
        <v>1.8833191523231399E-6</v>
      </c>
      <c r="AI31" s="98">
        <f t="shared" si="54"/>
        <v>1.5707963267948966</v>
      </c>
      <c r="AJ31" s="98" t="str">
        <f t="shared" si="39"/>
        <v>1+0.000184621032479476i</v>
      </c>
      <c r="AK31" s="98">
        <f t="shared" si="55"/>
        <v>1.0000000170424626</v>
      </c>
      <c r="AL31" s="98">
        <f t="shared" si="56"/>
        <v>1.84621030381878E-4</v>
      </c>
      <c r="AM31" s="98" t="str">
        <f t="shared" si="40"/>
        <v>1+0.0186467242804271i</v>
      </c>
      <c r="AN31" s="98">
        <f t="shared" si="57"/>
        <v>1.0001738350538822</v>
      </c>
      <c r="AO31" s="98">
        <f t="shared" si="58"/>
        <v>1.8644563573803428E-2</v>
      </c>
      <c r="AP31" s="168" t="str">
        <f t="shared" si="59"/>
        <v>-0.17932244195005+9.71303523077126i</v>
      </c>
      <c r="AQ31" s="98">
        <f t="shared" si="60"/>
        <v>19.748579307021711</v>
      </c>
      <c r="AR31" s="169">
        <f t="shared" si="61"/>
        <v>91.057676797792041</v>
      </c>
      <c r="AS31" s="168" t="e">
        <f t="shared" si="62"/>
        <v>#DIV/0!</v>
      </c>
      <c r="AT31" s="190" t="e">
        <f t="shared" si="63"/>
        <v>#DIV/0!</v>
      </c>
      <c r="AU31" s="169" t="e">
        <f t="shared" si="64"/>
        <v>#DIV/0!</v>
      </c>
      <c r="AV31" s="225"/>
      <c r="AX31" t="e">
        <f t="shared" si="65"/>
        <v>#DIV/0!</v>
      </c>
      <c r="AY31" t="e">
        <f t="shared" si="66"/>
        <v>#DIV/0!</v>
      </c>
    </row>
    <row r="32" spans="1:51" x14ac:dyDescent="0.25">
      <c r="N32" s="170">
        <v>14</v>
      </c>
      <c r="O32" s="199">
        <f t="shared" si="41"/>
        <v>13.803842646028857</v>
      </c>
      <c r="P32" s="189" t="str">
        <f t="shared" si="32"/>
        <v>290</v>
      </c>
      <c r="Q32" s="160" t="e">
        <f t="shared" si="33"/>
        <v>#DIV/0!</v>
      </c>
      <c r="R32" s="160" t="e">
        <f t="shared" si="42"/>
        <v>#DIV/0!</v>
      </c>
      <c r="S32" s="160" t="e">
        <f t="shared" si="43"/>
        <v>#DIV/0!</v>
      </c>
      <c r="T32" s="160" t="e">
        <f t="shared" si="34"/>
        <v>#DIV/0!</v>
      </c>
      <c r="U32" s="160" t="e">
        <f t="shared" si="44"/>
        <v>#DIV/0!</v>
      </c>
      <c r="V32" s="160" t="e">
        <f t="shared" si="45"/>
        <v>#DIV/0!</v>
      </c>
      <c r="W32" s="98" t="str">
        <f t="shared" si="35"/>
        <v>1-0.000691146432203677i</v>
      </c>
      <c r="X32" s="160">
        <f t="shared" si="46"/>
        <v>1.0000002388416669</v>
      </c>
      <c r="Y32" s="160">
        <f t="shared" si="47"/>
        <v>-6.9114632215398482E-4</v>
      </c>
      <c r="Z32" s="98" t="str">
        <f t="shared" si="36"/>
        <v>0.999999996063098+0.0000820719300083232i</v>
      </c>
      <c r="AA32" s="160">
        <f t="shared" si="48"/>
        <v>0.99999999943099882</v>
      </c>
      <c r="AB32" s="160">
        <f t="shared" si="49"/>
        <v>8.2071930147158928E-5</v>
      </c>
      <c r="AC32" s="171" t="e">
        <f t="shared" si="50"/>
        <v>#DIV/0!</v>
      </c>
      <c r="AD32" s="190" t="e">
        <f t="shared" si="51"/>
        <v>#DIV/0!</v>
      </c>
      <c r="AE32" s="169" t="e">
        <f t="shared" si="52"/>
        <v>#DIV/0!</v>
      </c>
      <c r="AF32" s="98" t="str">
        <f t="shared" si="37"/>
        <v>-0.0000182926829268293</v>
      </c>
      <c r="AG32" s="98" t="str">
        <f t="shared" si="38"/>
        <v>0.0000019271872908004i</v>
      </c>
      <c r="AH32" s="98">
        <f t="shared" si="53"/>
        <v>1.9271872908004002E-6</v>
      </c>
      <c r="AI32" s="98">
        <f t="shared" si="54"/>
        <v>1.5707963267948966</v>
      </c>
      <c r="AJ32" s="98" t="str">
        <f t="shared" si="39"/>
        <v>1+0.000188921408763886i</v>
      </c>
      <c r="AK32" s="98">
        <f t="shared" si="55"/>
        <v>1.0000000178456492</v>
      </c>
      <c r="AL32" s="98">
        <f t="shared" si="56"/>
        <v>1.8892140651626926E-4</v>
      </c>
      <c r="AM32" s="98" t="str">
        <f t="shared" si="40"/>
        <v>1+0.0190810622851524i</v>
      </c>
      <c r="AN32" s="98">
        <f t="shared" si="57"/>
        <v>1.0001820269020683</v>
      </c>
      <c r="AO32" s="98">
        <f t="shared" si="58"/>
        <v>1.9078747069048708E-2</v>
      </c>
      <c r="AP32" s="168" t="str">
        <f t="shared" si="59"/>
        <v>-0.17932244166199+9.49194108071907i</v>
      </c>
      <c r="AQ32" s="98">
        <f t="shared" si="60"/>
        <v>19.548650440876433</v>
      </c>
      <c r="AR32" s="169">
        <f t="shared" si="61"/>
        <v>91.082307286201015</v>
      </c>
      <c r="AS32" s="168" t="e">
        <f t="shared" si="62"/>
        <v>#DIV/0!</v>
      </c>
      <c r="AT32" s="190" t="e">
        <f t="shared" si="63"/>
        <v>#DIV/0!</v>
      </c>
      <c r="AU32" s="169" t="e">
        <f t="shared" si="64"/>
        <v>#DIV/0!</v>
      </c>
      <c r="AV32" s="225"/>
      <c r="AX32" t="e">
        <f t="shared" si="65"/>
        <v>#DIV/0!</v>
      </c>
      <c r="AY32" t="e">
        <f t="shared" si="66"/>
        <v>#DIV/0!</v>
      </c>
    </row>
    <row r="33" spans="1:51" x14ac:dyDescent="0.25">
      <c r="N33" s="170">
        <v>15</v>
      </c>
      <c r="O33" s="199">
        <f t="shared" si="41"/>
        <v>14.125375446227544</v>
      </c>
      <c r="P33" s="189" t="str">
        <f t="shared" si="32"/>
        <v>290</v>
      </c>
      <c r="Q33" s="160" t="e">
        <f t="shared" si="33"/>
        <v>#DIV/0!</v>
      </c>
      <c r="R33" s="160" t="e">
        <f t="shared" si="42"/>
        <v>#DIV/0!</v>
      </c>
      <c r="S33" s="160" t="e">
        <f t="shared" si="43"/>
        <v>#DIV/0!</v>
      </c>
      <c r="T33" s="160" t="e">
        <f t="shared" si="34"/>
        <v>#DIV/0!</v>
      </c>
      <c r="U33" s="160" t="e">
        <f t="shared" si="44"/>
        <v>#DIV/0!</v>
      </c>
      <c r="V33" s="160" t="e">
        <f t="shared" si="45"/>
        <v>#DIV/0!</v>
      </c>
      <c r="W33" s="98" t="str">
        <f t="shared" si="35"/>
        <v>1-0.000707245300713868i</v>
      </c>
      <c r="X33" s="160">
        <f t="shared" si="46"/>
        <v>1.0000002500979264</v>
      </c>
      <c r="Y33" s="160">
        <f t="shared" si="47"/>
        <v>-7.0724518279349986E-4</v>
      </c>
      <c r="Z33" s="98" t="str">
        <f t="shared" si="36"/>
        <v>0.999999995877557+0.0000839836308404736i</v>
      </c>
      <c r="AA33" s="160">
        <f t="shared" si="48"/>
        <v>0.99999999940418194</v>
      </c>
      <c r="AB33" s="160">
        <f t="shared" si="49"/>
        <v>8.3983630989238804E-5</v>
      </c>
      <c r="AC33" s="171" t="e">
        <f t="shared" si="50"/>
        <v>#DIV/0!</v>
      </c>
      <c r="AD33" s="190" t="e">
        <f t="shared" si="51"/>
        <v>#DIV/0!</v>
      </c>
      <c r="AE33" s="169" t="e">
        <f t="shared" si="52"/>
        <v>#DIV/0!</v>
      </c>
      <c r="AF33" s="98" t="str">
        <f t="shared" si="37"/>
        <v>-0.0000182926829268293</v>
      </c>
      <c r="AG33" s="98" t="str">
        <f t="shared" si="38"/>
        <v>1.97207724948858E-06i</v>
      </c>
      <c r="AH33" s="98">
        <f t="shared" si="53"/>
        <v>1.9720772494885801E-6</v>
      </c>
      <c r="AI33" s="98">
        <f t="shared" si="54"/>
        <v>1.5707963267948966</v>
      </c>
      <c r="AJ33" s="98" t="str">
        <f t="shared" si="39"/>
        <v>1+0.000193321953679892i</v>
      </c>
      <c r="AK33" s="98">
        <f t="shared" si="55"/>
        <v>1.0000000186866886</v>
      </c>
      <c r="AL33" s="98">
        <f t="shared" si="56"/>
        <v>1.9332195127152725E-4</v>
      </c>
      <c r="AM33" s="98" t="str">
        <f t="shared" si="40"/>
        <v>1+0.0195255173216691i</v>
      </c>
      <c r="AN33" s="98">
        <f t="shared" si="57"/>
        <v>1.0001906047482543</v>
      </c>
      <c r="AO33" s="98">
        <f t="shared" si="58"/>
        <v>1.952303654845083E-2</v>
      </c>
      <c r="AP33" s="168" t="str">
        <f t="shared" si="59"/>
        <v>-0.179322441360356+9.27587968346857i</v>
      </c>
      <c r="AQ33" s="98">
        <f t="shared" si="60"/>
        <v>19.348724925917452</v>
      </c>
      <c r="AR33" s="169">
        <f t="shared" si="61"/>
        <v>91.10751106561078</v>
      </c>
      <c r="AS33" s="168" t="e">
        <f t="shared" si="62"/>
        <v>#DIV/0!</v>
      </c>
      <c r="AT33" s="190" t="e">
        <f t="shared" si="63"/>
        <v>#DIV/0!</v>
      </c>
      <c r="AU33" s="169" t="e">
        <f t="shared" si="64"/>
        <v>#DIV/0!</v>
      </c>
      <c r="AV33" s="225"/>
      <c r="AX33" t="e">
        <f t="shared" si="65"/>
        <v>#DIV/0!</v>
      </c>
      <c r="AY33" t="e">
        <f t="shared" si="66"/>
        <v>#DIV/0!</v>
      </c>
    </row>
    <row r="34" spans="1:51" x14ac:dyDescent="0.25">
      <c r="N34" s="170">
        <v>16</v>
      </c>
      <c r="O34" s="199">
        <f t="shared" si="41"/>
        <v>14.454397707459275</v>
      </c>
      <c r="P34" s="189" t="str">
        <f t="shared" si="32"/>
        <v>290</v>
      </c>
      <c r="Q34" s="160" t="e">
        <f t="shared" si="33"/>
        <v>#DIV/0!</v>
      </c>
      <c r="R34" s="160" t="e">
        <f t="shared" si="42"/>
        <v>#DIV/0!</v>
      </c>
      <c r="S34" s="160" t="e">
        <f t="shared" si="43"/>
        <v>#DIV/0!</v>
      </c>
      <c r="T34" s="160" t="e">
        <f t="shared" si="34"/>
        <v>#DIV/0!</v>
      </c>
      <c r="U34" s="160" t="e">
        <f t="shared" si="44"/>
        <v>#DIV/0!</v>
      </c>
      <c r="V34" s="160" t="e">
        <f t="shared" si="45"/>
        <v>#DIV/0!</v>
      </c>
      <c r="W34" s="98" t="str">
        <f t="shared" si="35"/>
        <v>1-0.000723719160043996i</v>
      </c>
      <c r="X34" s="160">
        <f t="shared" si="46"/>
        <v>1.0000002618846771</v>
      </c>
      <c r="Y34" s="160">
        <f t="shared" si="47"/>
        <v>-7.237190336900469E-4</v>
      </c>
      <c r="Z34" s="98" t="str">
        <f t="shared" si="36"/>
        <v>0.999999995683272+0.0000859398609053504i</v>
      </c>
      <c r="AA34" s="160">
        <f t="shared" si="48"/>
        <v>0.99999999937610184</v>
      </c>
      <c r="AB34" s="160">
        <f t="shared" si="49"/>
        <v>8.5939861064755215E-5</v>
      </c>
      <c r="AC34" s="171" t="e">
        <f t="shared" si="50"/>
        <v>#DIV/0!</v>
      </c>
      <c r="AD34" s="190" t="e">
        <f t="shared" si="51"/>
        <v>#DIV/0!</v>
      </c>
      <c r="AE34" s="169" t="e">
        <f t="shared" si="52"/>
        <v>#DIV/0!</v>
      </c>
      <c r="AF34" s="98" t="str">
        <f t="shared" si="37"/>
        <v>-0.0000182926829268293</v>
      </c>
      <c r="AG34" s="98" t="str">
        <f t="shared" si="38"/>
        <v>2.01801282963797E-06i</v>
      </c>
      <c r="AH34" s="98">
        <f t="shared" si="53"/>
        <v>2.0180128296379698E-6</v>
      </c>
      <c r="AI34" s="98">
        <f t="shared" si="54"/>
        <v>1.5707963267948966</v>
      </c>
      <c r="AJ34" s="98" t="str">
        <f t="shared" si="39"/>
        <v>1+0.000197825000454658i</v>
      </c>
      <c r="AK34" s="98">
        <f t="shared" si="55"/>
        <v>1.0000000195673653</v>
      </c>
      <c r="AL34" s="98">
        <f t="shared" si="56"/>
        <v>1.978249978740487E-4</v>
      </c>
      <c r="AM34" s="98" t="str">
        <f t="shared" si="40"/>
        <v>1+0.0199803250459204i</v>
      </c>
      <c r="AN34" s="98">
        <f t="shared" si="57"/>
        <v>1.0001995867770295</v>
      </c>
      <c r="AO34" s="98">
        <f t="shared" si="58"/>
        <v>1.9977666878172477E-2</v>
      </c>
      <c r="AP34" s="168" t="str">
        <f t="shared" si="59"/>
        <v>-0.179322441044506+9.06473648040702i</v>
      </c>
      <c r="AQ34" s="98">
        <f t="shared" si="60"/>
        <v>19.148802919960858</v>
      </c>
      <c r="AR34" s="169">
        <f t="shared" si="61"/>
        <v>91.133301459177204</v>
      </c>
      <c r="AS34" s="168" t="e">
        <f t="shared" si="62"/>
        <v>#DIV/0!</v>
      </c>
      <c r="AT34" s="190" t="e">
        <f t="shared" si="63"/>
        <v>#DIV/0!</v>
      </c>
      <c r="AU34" s="169" t="e">
        <f t="shared" si="64"/>
        <v>#DIV/0!</v>
      </c>
      <c r="AV34" s="225"/>
      <c r="AX34" t="e">
        <f t="shared" si="65"/>
        <v>#DIV/0!</v>
      </c>
      <c r="AY34" t="e">
        <f t="shared" si="66"/>
        <v>#DIV/0!</v>
      </c>
    </row>
    <row r="35" spans="1:51" x14ac:dyDescent="0.25">
      <c r="A35" s="98" t="s">
        <v>235</v>
      </c>
      <c r="B35" s="208">
        <f>IF(Dc_Mode_Loop="CCM",(Gcomp*(VIN_var/VOUT)*(VOUT/IOUT))/(2*R_cs*Acs),K35*K37)</f>
        <v>290</v>
      </c>
      <c r="C35" s="98" t="s">
        <v>180</v>
      </c>
      <c r="E35" s="98" t="s">
        <v>239</v>
      </c>
      <c r="J35" s="98" t="s">
        <v>546</v>
      </c>
      <c r="K35" s="98">
        <f>Fsw/((1+B45/B46)*B46)</f>
        <v>20.154923459792006</v>
      </c>
      <c r="N35" s="170">
        <v>17</v>
      </c>
      <c r="O35" s="199">
        <f t="shared" si="41"/>
        <v>14.791083881682074</v>
      </c>
      <c r="P35" s="189" t="str">
        <f t="shared" si="32"/>
        <v>290</v>
      </c>
      <c r="Q35" s="160" t="e">
        <f t="shared" si="33"/>
        <v>#DIV/0!</v>
      </c>
      <c r="R35" s="160" t="e">
        <f t="shared" si="42"/>
        <v>#DIV/0!</v>
      </c>
      <c r="S35" s="160" t="e">
        <f t="shared" si="43"/>
        <v>#DIV/0!</v>
      </c>
      <c r="T35" s="160" t="e">
        <f t="shared" si="34"/>
        <v>#DIV/0!</v>
      </c>
      <c r="U35" s="160" t="e">
        <f t="shared" si="44"/>
        <v>#DIV/0!</v>
      </c>
      <c r="V35" s="160" t="e">
        <f t="shared" si="45"/>
        <v>#DIV/0!</v>
      </c>
      <c r="W35" s="98" t="str">
        <f t="shared" si="35"/>
        <v>1-0.000740576744852334i</v>
      </c>
      <c r="X35" s="160">
        <f t="shared" si="46"/>
        <v>1.0000002742269198</v>
      </c>
      <c r="Y35" s="160">
        <f t="shared" si="47"/>
        <v>-7.4057660946164018E-4</v>
      </c>
      <c r="Z35" s="98" t="str">
        <f t="shared" si="36"/>
        <v>0.999999995479831+0.0000879416574220278i</v>
      </c>
      <c r="AA35" s="160">
        <f t="shared" si="48"/>
        <v>0.99999999934669848</v>
      </c>
      <c r="AB35" s="160">
        <f t="shared" si="49"/>
        <v>8.7941657592833123E-5</v>
      </c>
      <c r="AC35" s="171" t="e">
        <f t="shared" si="50"/>
        <v>#DIV/0!</v>
      </c>
      <c r="AD35" s="190" t="e">
        <f t="shared" si="51"/>
        <v>#DIV/0!</v>
      </c>
      <c r="AE35" s="169" t="e">
        <f t="shared" si="52"/>
        <v>#DIV/0!</v>
      </c>
      <c r="AF35" s="98" t="str">
        <f t="shared" si="37"/>
        <v>-0.0000182926829268293</v>
      </c>
      <c r="AG35" s="98" t="str">
        <f t="shared" si="38"/>
        <v>2.06501838690119E-06i</v>
      </c>
      <c r="AH35" s="98">
        <f t="shared" si="53"/>
        <v>2.0650183869011898E-6</v>
      </c>
      <c r="AI35" s="98">
        <f t="shared" si="54"/>
        <v>1.5707963267948966</v>
      </c>
      <c r="AJ35" s="98" t="str">
        <f t="shared" si="39"/>
        <v>1+0.000202432936663188i</v>
      </c>
      <c r="AK35" s="98">
        <f t="shared" si="55"/>
        <v>1.0000000204895467</v>
      </c>
      <c r="AL35" s="98">
        <f t="shared" si="56"/>
        <v>2.0243293389801532E-4</v>
      </c>
      <c r="AM35" s="98" t="str">
        <f t="shared" si="40"/>
        <v>1+0.020445726602982i</v>
      </c>
      <c r="AN35" s="98">
        <f t="shared" si="57"/>
        <v>1.0002089920293278</v>
      </c>
      <c r="AO35" s="98">
        <f t="shared" si="58"/>
        <v>2.0442878357065573E-2</v>
      </c>
      <c r="AP35" s="168" t="str">
        <f t="shared" si="59"/>
        <v>-0.17932244071377+8.85839952061335i</v>
      </c>
      <c r="AQ35" s="98">
        <f t="shared" si="60"/>
        <v>18.948884588248763</v>
      </c>
      <c r="AR35" s="169">
        <f t="shared" si="61"/>
        <v>91.159692098212375</v>
      </c>
      <c r="AS35" s="168" t="e">
        <f t="shared" si="62"/>
        <v>#DIV/0!</v>
      </c>
      <c r="AT35" s="190" t="e">
        <f t="shared" si="63"/>
        <v>#DIV/0!</v>
      </c>
      <c r="AU35" s="169" t="e">
        <f t="shared" si="64"/>
        <v>#DIV/0!</v>
      </c>
      <c r="AV35" s="225"/>
      <c r="AX35" t="e">
        <f t="shared" si="65"/>
        <v>#DIV/0!</v>
      </c>
      <c r="AY35" t="e">
        <f t="shared" si="66"/>
        <v>#DIV/0!</v>
      </c>
    </row>
    <row r="36" spans="1:51" x14ac:dyDescent="0.25">
      <c r="A36" s="98" t="s">
        <v>252</v>
      </c>
      <c r="B36" s="209" t="e">
        <f>IF(Dc_Mode_Loop="CCM",2/(Cout*(VOUT/IOUT)),(2*B20/B17-1)/(Cout*(VOUT/IOUT)*(B20/B17-1)))</f>
        <v>#DIV/0!</v>
      </c>
      <c r="C36" s="98" t="s">
        <v>251</v>
      </c>
      <c r="E36" s="98" t="s">
        <v>242</v>
      </c>
      <c r="J36" s="98" t="s">
        <v>547</v>
      </c>
      <c r="K36" s="98">
        <f>(1+SQRT(1+2*(Dc_DCM_VIN_nom^2)/K38))/2</f>
        <v>5.625</v>
      </c>
      <c r="N36" s="170">
        <v>18</v>
      </c>
      <c r="O36" s="199">
        <f t="shared" si="41"/>
        <v>15.135612484362087</v>
      </c>
      <c r="P36" s="189" t="str">
        <f t="shared" si="32"/>
        <v>290</v>
      </c>
      <c r="Q36" s="160" t="e">
        <f t="shared" si="33"/>
        <v>#DIV/0!</v>
      </c>
      <c r="R36" s="160" t="e">
        <f t="shared" si="42"/>
        <v>#DIV/0!</v>
      </c>
      <c r="S36" s="160" t="e">
        <f t="shared" si="43"/>
        <v>#DIV/0!</v>
      </c>
      <c r="T36" s="160" t="e">
        <f t="shared" si="34"/>
        <v>#DIV/0!</v>
      </c>
      <c r="U36" s="160" t="e">
        <f t="shared" si="44"/>
        <v>#DIV/0!</v>
      </c>
      <c r="V36" s="160" t="e">
        <f t="shared" si="45"/>
        <v>#DIV/0!</v>
      </c>
      <c r="W36" s="98" t="str">
        <f t="shared" si="35"/>
        <v>1-0.000757826993253486i</v>
      </c>
      <c r="X36" s="160">
        <f t="shared" si="46"/>
        <v>1.0000002871508347</v>
      </c>
      <c r="Y36" s="160">
        <f t="shared" si="47"/>
        <v>-7.5782684817974613E-4</v>
      </c>
      <c r="Z36" s="98" t="str">
        <f t="shared" si="36"/>
        <v>0.999999995266802+0.0000899900817695159i</v>
      </c>
      <c r="AA36" s="160">
        <f t="shared" si="48"/>
        <v>0.99999999931590955</v>
      </c>
      <c r="AB36" s="160">
        <f t="shared" si="49"/>
        <v>8.9990081952537107E-5</v>
      </c>
      <c r="AC36" s="171" t="e">
        <f t="shared" si="50"/>
        <v>#DIV/0!</v>
      </c>
      <c r="AD36" s="190" t="e">
        <f t="shared" si="51"/>
        <v>#DIV/0!</v>
      </c>
      <c r="AE36" s="169" t="e">
        <f t="shared" si="52"/>
        <v>#DIV/0!</v>
      </c>
      <c r="AF36" s="98" t="str">
        <f t="shared" si="37"/>
        <v>-0.0000182926829268293</v>
      </c>
      <c r="AG36" s="98" t="str">
        <f t="shared" si="38"/>
        <v>2.11311884424689E-06i</v>
      </c>
      <c r="AH36" s="98">
        <f t="shared" si="53"/>
        <v>2.1131188442468901E-6</v>
      </c>
      <c r="AI36" s="98">
        <f t="shared" si="54"/>
        <v>1.5707963267948966</v>
      </c>
      <c r="AJ36" s="98" t="str">
        <f t="shared" si="39"/>
        <v>1+0.000207148205494255i</v>
      </c>
      <c r="AK36" s="98">
        <f t="shared" si="55"/>
        <v>1.0000000214551892</v>
      </c>
      <c r="AL36" s="98">
        <f t="shared" si="56"/>
        <v>2.0714820253131907E-4</v>
      </c>
      <c r="AM36" s="98" t="str">
        <f t="shared" si="40"/>
        <v>1+0.0209219687549197i</v>
      </c>
      <c r="AN36" s="98">
        <f t="shared" si="57"/>
        <v>1.0002188404427212</v>
      </c>
      <c r="AO36" s="98">
        <f t="shared" si="58"/>
        <v>2.0918916840497143E-2</v>
      </c>
      <c r="AP36" s="168" t="str">
        <f t="shared" si="59"/>
        <v>-0.179322440367448+8.6567594015003i</v>
      </c>
      <c r="AQ36" s="98">
        <f t="shared" si="60"/>
        <v>18.7489701037982</v>
      </c>
      <c r="AR36" s="169">
        <f t="shared" si="61"/>
        <v>91.18669692920686</v>
      </c>
      <c r="AS36" s="168" t="e">
        <f t="shared" si="62"/>
        <v>#DIV/0!</v>
      </c>
      <c r="AT36" s="190" t="e">
        <f t="shared" si="63"/>
        <v>#DIV/0!</v>
      </c>
      <c r="AU36" s="169" t="e">
        <f t="shared" si="64"/>
        <v>#DIV/0!</v>
      </c>
      <c r="AV36" s="225"/>
      <c r="AX36" t="e">
        <f t="shared" si="65"/>
        <v>#DIV/0!</v>
      </c>
      <c r="AY36" t="e">
        <f t="shared" si="66"/>
        <v>#DIV/0!</v>
      </c>
    </row>
    <row r="37" spans="1:51" x14ac:dyDescent="0.25">
      <c r="B37" s="210" t="e">
        <f>wp_lf/(2*PI())</f>
        <v>#DIV/0!</v>
      </c>
      <c r="C37" s="98" t="s">
        <v>69</v>
      </c>
      <c r="J37" s="98" t="s">
        <v>548</v>
      </c>
      <c r="K37" s="98">
        <f>2*VOUT/Dc_DCM_VIN_nom*(K36-1)/(2*K36-1)</f>
        <v>50.736510392571603</v>
      </c>
      <c r="N37" s="170">
        <v>19</v>
      </c>
      <c r="O37" s="199">
        <f t="shared" si="41"/>
        <v>15.488166189124817</v>
      </c>
      <c r="P37" s="189" t="str">
        <f t="shared" si="32"/>
        <v>290</v>
      </c>
      <c r="Q37" s="160" t="e">
        <f t="shared" si="33"/>
        <v>#DIV/0!</v>
      </c>
      <c r="R37" s="160" t="e">
        <f t="shared" si="42"/>
        <v>#DIV/0!</v>
      </c>
      <c r="S37" s="160" t="e">
        <f t="shared" si="43"/>
        <v>#DIV/0!</v>
      </c>
      <c r="T37" s="160" t="e">
        <f t="shared" si="34"/>
        <v>#DIV/0!</v>
      </c>
      <c r="U37" s="160" t="e">
        <f t="shared" si="44"/>
        <v>#DIV/0!</v>
      </c>
      <c r="V37" s="160" t="e">
        <f t="shared" si="45"/>
        <v>#DIV/0!</v>
      </c>
      <c r="W37" s="98" t="str">
        <f t="shared" si="35"/>
        <v>1-0.000775479051557487i</v>
      </c>
      <c r="X37" s="160">
        <f t="shared" si="46"/>
        <v>1.0000003006838345</v>
      </c>
      <c r="Y37" s="160">
        <f t="shared" si="47"/>
        <v>-7.7547889610817661E-4</v>
      </c>
      <c r="Z37" s="98" t="str">
        <f t="shared" si="36"/>
        <v>0.999999995043734+0.0000920862200495177i</v>
      </c>
      <c r="AA37" s="160">
        <f t="shared" si="48"/>
        <v>0.99999999928367</v>
      </c>
      <c r="AB37" s="160">
        <f t="shared" si="49"/>
        <v>9.2086220245628375E-5</v>
      </c>
      <c r="AC37" s="171" t="e">
        <f t="shared" si="50"/>
        <v>#DIV/0!</v>
      </c>
      <c r="AD37" s="190" t="e">
        <f t="shared" si="51"/>
        <v>#DIV/0!</v>
      </c>
      <c r="AE37" s="169" t="e">
        <f t="shared" si="52"/>
        <v>#DIV/0!</v>
      </c>
      <c r="AF37" s="98" t="str">
        <f t="shared" si="37"/>
        <v>-0.0000182926829268293</v>
      </c>
      <c r="AG37" s="98" t="str">
        <f t="shared" si="38"/>
        <v>2.16233970517425E-06i</v>
      </c>
      <c r="AH37" s="98">
        <f t="shared" si="53"/>
        <v>2.1623397051742499E-6</v>
      </c>
      <c r="AI37" s="98">
        <f t="shared" si="54"/>
        <v>1.5707963267948966</v>
      </c>
      <c r="AJ37" s="98" t="str">
        <f t="shared" si="39"/>
        <v>1+0.000211973307045804i</v>
      </c>
      <c r="AK37" s="98">
        <f t="shared" si="55"/>
        <v>1.0000000224663412</v>
      </c>
      <c r="AL37" s="98">
        <f t="shared" si="56"/>
        <v>2.1197330387096096E-4</v>
      </c>
      <c r="AM37" s="98" t="str">
        <f t="shared" si="40"/>
        <v>1+0.0214093040116262i</v>
      </c>
      <c r="AN37" s="98">
        <f t="shared" si="57"/>
        <v>1.0002291528936067</v>
      </c>
      <c r="AO37" s="98">
        <f t="shared" si="58"/>
        <v>2.1406033866866642E-2</v>
      </c>
      <c r="AP37" s="168" t="str">
        <f t="shared" si="59"/>
        <v>-0.179322440004803+8.45970921080767i</v>
      </c>
      <c r="AQ37" s="98">
        <f t="shared" si="60"/>
        <v>18.549059647766228</v>
      </c>
      <c r="AR37" s="169">
        <f t="shared" si="61"/>
        <v>91.214330221004317</v>
      </c>
      <c r="AS37" s="168" t="e">
        <f t="shared" si="62"/>
        <v>#DIV/0!</v>
      </c>
      <c r="AT37" s="190" t="e">
        <f t="shared" si="63"/>
        <v>#DIV/0!</v>
      </c>
      <c r="AU37" s="169" t="e">
        <f t="shared" si="64"/>
        <v>#DIV/0!</v>
      </c>
      <c r="AV37" s="225"/>
      <c r="AX37" t="e">
        <f t="shared" si="65"/>
        <v>#DIV/0!</v>
      </c>
      <c r="AY37" t="e">
        <f t="shared" si="66"/>
        <v>#DIV/0!</v>
      </c>
    </row>
    <row r="38" spans="1:51" x14ac:dyDescent="0.25">
      <c r="B38" s="211"/>
      <c r="C38" s="98" t="s">
        <v>275</v>
      </c>
      <c r="E38" s="98" t="s">
        <v>274</v>
      </c>
      <c r="J38" s="98" t="s">
        <v>549</v>
      </c>
      <c r="K38" s="98">
        <f>(Lm*Fsw/(VOUT/IOUT))</f>
        <v>0.11081481481481481</v>
      </c>
      <c r="N38" s="170">
        <v>20</v>
      </c>
      <c r="O38" s="199">
        <f t="shared" si="41"/>
        <v>15.848931924611136</v>
      </c>
      <c r="P38" s="189" t="str">
        <f t="shared" si="32"/>
        <v>290</v>
      </c>
      <c r="Q38" s="160" t="e">
        <f t="shared" si="33"/>
        <v>#DIV/0!</v>
      </c>
      <c r="R38" s="160" t="e">
        <f t="shared" si="42"/>
        <v>#DIV/0!</v>
      </c>
      <c r="S38" s="160" t="e">
        <f t="shared" si="43"/>
        <v>#DIV/0!</v>
      </c>
      <c r="T38" s="160" t="e">
        <f t="shared" si="34"/>
        <v>#DIV/0!</v>
      </c>
      <c r="U38" s="160" t="e">
        <f t="shared" si="44"/>
        <v>#DIV/0!</v>
      </c>
      <c r="V38" s="160" t="e">
        <f t="shared" si="45"/>
        <v>#DIV/0!</v>
      </c>
      <c r="W38" s="98" t="str">
        <f t="shared" si="35"/>
        <v>1-0.000793542279119302i</v>
      </c>
      <c r="X38" s="160">
        <f t="shared" si="46"/>
        <v>1.0000003148546248</v>
      </c>
      <c r="Y38" s="160">
        <f t="shared" si="47"/>
        <v>-7.9354211255236776E-4</v>
      </c>
      <c r="Z38" s="98" t="str">
        <f t="shared" si="36"/>
        <v>0.999999994810152+0.0000942311836622949i</v>
      </c>
      <c r="AA38" s="160">
        <f t="shared" si="48"/>
        <v>0.9999999992499099</v>
      </c>
      <c r="AB38" s="160">
        <f t="shared" si="49"/>
        <v>9.4231183872431318E-5</v>
      </c>
      <c r="AC38" s="171" t="e">
        <f t="shared" si="50"/>
        <v>#DIV/0!</v>
      </c>
      <c r="AD38" s="190" t="e">
        <f t="shared" si="51"/>
        <v>#DIV/0!</v>
      </c>
      <c r="AE38" s="169" t="e">
        <f t="shared" si="52"/>
        <v>#DIV/0!</v>
      </c>
      <c r="AF38" s="98" t="str">
        <f t="shared" si="37"/>
        <v>-0.0000182926829268293</v>
      </c>
      <c r="AG38" s="98" t="str">
        <f t="shared" si="38"/>
        <v>2.21270706723524E-06i</v>
      </c>
      <c r="AH38" s="98">
        <f t="shared" si="53"/>
        <v>2.21270706723524E-6</v>
      </c>
      <c r="AI38" s="98">
        <f t="shared" si="54"/>
        <v>1.5707963267948966</v>
      </c>
      <c r="AJ38" s="98" t="str">
        <f t="shared" si="39"/>
        <v>1+0.000216910799650548i</v>
      </c>
      <c r="AK38" s="98">
        <f t="shared" si="55"/>
        <v>1.0000000235251472</v>
      </c>
      <c r="AL38" s="98">
        <f t="shared" si="56"/>
        <v>2.1691079624864239E-4</v>
      </c>
      <c r="AM38" s="98" t="str">
        <f t="shared" si="40"/>
        <v>1+0.0219079907647053i</v>
      </c>
      <c r="AN38" s="98">
        <f t="shared" si="57"/>
        <v>1.000239951241374</v>
      </c>
      <c r="AO38" s="98">
        <f t="shared" si="58"/>
        <v>2.1904486786862416E-2</v>
      </c>
      <c r="AP38" s="168" t="str">
        <f t="shared" si="59"/>
        <v>-0.179322439625068+8.26714446991609i</v>
      </c>
      <c r="AQ38" s="98">
        <f t="shared" si="60"/>
        <v>18.349153409832301</v>
      </c>
      <c r="AR38" s="169">
        <f t="shared" si="61"/>
        <v>91.242606572131422</v>
      </c>
      <c r="AS38" s="168" t="e">
        <f t="shared" si="62"/>
        <v>#DIV/0!</v>
      </c>
      <c r="AT38" s="190" t="e">
        <f t="shared" si="63"/>
        <v>#DIV/0!</v>
      </c>
      <c r="AU38" s="169" t="e">
        <f t="shared" si="64"/>
        <v>#DIV/0!</v>
      </c>
      <c r="AV38" s="225"/>
      <c r="AX38" t="e">
        <f t="shared" si="65"/>
        <v>#DIV/0!</v>
      </c>
      <c r="AY38" t="e">
        <f t="shared" si="66"/>
        <v>#DIV/0!</v>
      </c>
    </row>
    <row r="39" spans="1:51" x14ac:dyDescent="0.25">
      <c r="A39" s="98" t="s">
        <v>253</v>
      </c>
      <c r="B39" s="209">
        <f>((VOUT/IOUT)*((VIN_var/VOUT)^2))/(Lm)</f>
        <v>125490.19607843137</v>
      </c>
      <c r="C39" s="98" t="s">
        <v>251</v>
      </c>
      <c r="E39" s="98" t="s">
        <v>243</v>
      </c>
      <c r="N39" s="170">
        <v>21</v>
      </c>
      <c r="O39" s="199">
        <f t="shared" si="41"/>
        <v>16.218100973589298</v>
      </c>
      <c r="P39" s="189" t="str">
        <f t="shared" si="32"/>
        <v>290</v>
      </c>
      <c r="Q39" s="160" t="e">
        <f t="shared" si="33"/>
        <v>#DIV/0!</v>
      </c>
      <c r="R39" s="160" t="e">
        <f t="shared" si="42"/>
        <v>#DIV/0!</v>
      </c>
      <c r="S39" s="160" t="e">
        <f t="shared" si="43"/>
        <v>#DIV/0!</v>
      </c>
      <c r="T39" s="160" t="e">
        <f t="shared" si="34"/>
        <v>#DIV/0!</v>
      </c>
      <c r="U39" s="160" t="e">
        <f t="shared" si="44"/>
        <v>#DIV/0!</v>
      </c>
      <c r="V39" s="160" t="e">
        <f t="shared" si="45"/>
        <v>#DIV/0!</v>
      </c>
      <c r="W39" s="98" t="str">
        <f t="shared" si="35"/>
        <v>1-0.000812026253301278i</v>
      </c>
      <c r="X39" s="160">
        <f t="shared" si="46"/>
        <v>1.0000003296932636</v>
      </c>
      <c r="Y39" s="160">
        <f t="shared" si="47"/>
        <v>-8.1202607482159551E-4</v>
      </c>
      <c r="Z39" s="98" t="str">
        <f t="shared" si="36"/>
        <v>0.999999994565562+0.0000964261098959468i</v>
      </c>
      <c r="AA39" s="160">
        <f t="shared" si="48"/>
        <v>0.9999999992145594</v>
      </c>
      <c r="AB39" s="160">
        <f t="shared" si="49"/>
        <v>9.6426110121112019E-5</v>
      </c>
      <c r="AC39" s="171" t="e">
        <f t="shared" si="50"/>
        <v>#DIV/0!</v>
      </c>
      <c r="AD39" s="190" t="e">
        <f t="shared" si="51"/>
        <v>#DIV/0!</v>
      </c>
      <c r="AE39" s="169" t="e">
        <f t="shared" si="52"/>
        <v>#DIV/0!</v>
      </c>
      <c r="AF39" s="98" t="str">
        <f t="shared" si="37"/>
        <v>-0.0000182926829268293</v>
      </c>
      <c r="AG39" s="98" t="str">
        <f t="shared" si="38"/>
        <v>2.26424763587192E-06i</v>
      </c>
      <c r="AH39" s="98">
        <f t="shared" si="53"/>
        <v>2.26424763587192E-6</v>
      </c>
      <c r="AI39" s="98">
        <f t="shared" si="54"/>
        <v>1.5707963267948966</v>
      </c>
      <c r="AJ39" s="98" t="str">
        <f t="shared" si="39"/>
        <v>1+0.00022196330123242i</v>
      </c>
      <c r="AK39" s="98">
        <f t="shared" si="55"/>
        <v>1.0000000246338532</v>
      </c>
      <c r="AL39" s="98">
        <f t="shared" si="56"/>
        <v>2.2196329758721246E-4</v>
      </c>
      <c r="AM39" s="98" t="str">
        <f t="shared" si="40"/>
        <v>1+0.0224182934244744i</v>
      </c>
      <c r="AN39" s="98">
        <f t="shared" si="57"/>
        <v>1.0002512583746475</v>
      </c>
      <c r="AO39" s="98">
        <f t="shared" si="58"/>
        <v>2.2414538895506299E-2</v>
      </c>
      <c r="AP39" s="168" t="str">
        <f t="shared" si="59"/>
        <v>-0.179322439227436+8.07896307845105i</v>
      </c>
      <c r="AQ39" s="98">
        <f t="shared" si="60"/>
        <v>18.149251588598403</v>
      </c>
      <c r="AR39" s="169">
        <f t="shared" si="61"/>
        <v>91.27154091828578</v>
      </c>
      <c r="AS39" s="168" t="e">
        <f t="shared" si="62"/>
        <v>#DIV/0!</v>
      </c>
      <c r="AT39" s="190" t="e">
        <f t="shared" si="63"/>
        <v>#DIV/0!</v>
      </c>
      <c r="AU39" s="169" t="e">
        <f t="shared" si="64"/>
        <v>#DIV/0!</v>
      </c>
      <c r="AV39" s="225"/>
      <c r="AX39" t="e">
        <f t="shared" si="65"/>
        <v>#DIV/0!</v>
      </c>
      <c r="AY39" t="e">
        <f t="shared" si="66"/>
        <v>#DIV/0!</v>
      </c>
    </row>
    <row r="40" spans="1:51" x14ac:dyDescent="0.25">
      <c r="B40" s="211">
        <f>wz_rhp/(2*PI())</f>
        <v>19972.385015453532</v>
      </c>
      <c r="C40" s="98" t="s">
        <v>69</v>
      </c>
      <c r="N40" s="170">
        <v>22</v>
      </c>
      <c r="O40" s="199">
        <f t="shared" si="41"/>
        <v>16.595869074375614</v>
      </c>
      <c r="P40" s="189" t="str">
        <f t="shared" si="32"/>
        <v>290</v>
      </c>
      <c r="Q40" s="160" t="e">
        <f t="shared" si="33"/>
        <v>#DIV/0!</v>
      </c>
      <c r="R40" s="160" t="e">
        <f t="shared" si="42"/>
        <v>#DIV/0!</v>
      </c>
      <c r="S40" s="160" t="e">
        <f t="shared" si="43"/>
        <v>#DIV/0!</v>
      </c>
      <c r="T40" s="160" t="e">
        <f t="shared" si="34"/>
        <v>#DIV/0!</v>
      </c>
      <c r="U40" s="160" t="e">
        <f t="shared" si="44"/>
        <v>#DIV/0!</v>
      </c>
      <c r="V40" s="160" t="e">
        <f t="shared" si="45"/>
        <v>#DIV/0!</v>
      </c>
      <c r="W40" s="98" t="str">
        <f t="shared" si="35"/>
        <v>1-0.000830940774551197i</v>
      </c>
      <c r="X40" s="160">
        <f t="shared" si="46"/>
        <v>1.0000003452312258</v>
      </c>
      <c r="Y40" s="160">
        <f t="shared" si="47"/>
        <v>-8.3094058330677512E-4</v>
      </c>
      <c r="Z40" s="98" t="str">
        <f t="shared" si="36"/>
        <v>0.999999994309445+0.0000986721625294166i</v>
      </c>
      <c r="AA40" s="160">
        <f t="shared" si="48"/>
        <v>0.9999999991775429</v>
      </c>
      <c r="AB40" s="160">
        <f t="shared" si="49"/>
        <v>9.8672162770685473E-5</v>
      </c>
      <c r="AC40" s="171" t="e">
        <f t="shared" si="50"/>
        <v>#DIV/0!</v>
      </c>
      <c r="AD40" s="190" t="e">
        <f t="shared" si="51"/>
        <v>#DIV/0!</v>
      </c>
      <c r="AE40" s="169" t="e">
        <f t="shared" si="52"/>
        <v>#DIV/0!</v>
      </c>
      <c r="AF40" s="98" t="str">
        <f t="shared" si="37"/>
        <v>-0.0000182926829268293</v>
      </c>
      <c r="AG40" s="98" t="str">
        <f t="shared" si="38"/>
        <v>0.000002316988738576i</v>
      </c>
      <c r="AH40" s="98">
        <f t="shared" si="53"/>
        <v>2.3169887385759998E-6</v>
      </c>
      <c r="AI40" s="98">
        <f t="shared" si="54"/>
        <v>1.5707963267948966</v>
      </c>
      <c r="AJ40" s="98" t="str">
        <f t="shared" si="39"/>
        <v>1+0.000227133490694638i</v>
      </c>
      <c r="AK40" s="98">
        <f t="shared" si="55"/>
        <v>1.000000025794811</v>
      </c>
      <c r="AL40" s="98">
        <f t="shared" si="56"/>
        <v>2.2713348678872776E-4</v>
      </c>
      <c r="AM40" s="98" t="str">
        <f t="shared" si="40"/>
        <v>1+0.0229404825601584i</v>
      </c>
      <c r="AN40" s="98">
        <f t="shared" si="57"/>
        <v>1.0002630982596994</v>
      </c>
      <c r="AO40" s="98">
        <f t="shared" si="58"/>
        <v>2.2936459567035886E-2</v>
      </c>
      <c r="AP40" s="168" t="str">
        <f t="shared" si="59"/>
        <v>-0.179322438811065+7.89506526014789i</v>
      </c>
      <c r="AQ40" s="98">
        <f t="shared" si="60"/>
        <v>17.94935439200793</v>
      </c>
      <c r="AR40" s="169">
        <f t="shared" si="61"/>
        <v>91.301148539984524</v>
      </c>
      <c r="AS40" s="168" t="e">
        <f t="shared" si="62"/>
        <v>#DIV/0!</v>
      </c>
      <c r="AT40" s="190" t="e">
        <f t="shared" si="63"/>
        <v>#DIV/0!</v>
      </c>
      <c r="AU40" s="169" t="e">
        <f t="shared" si="64"/>
        <v>#DIV/0!</v>
      </c>
      <c r="AV40" s="225"/>
      <c r="AX40" t="e">
        <f t="shared" si="65"/>
        <v>#DIV/0!</v>
      </c>
      <c r="AY40" t="e">
        <f t="shared" si="66"/>
        <v>#DIV/0!</v>
      </c>
    </row>
    <row r="41" spans="1:51" x14ac:dyDescent="0.25">
      <c r="B41" s="211"/>
      <c r="N41" s="170">
        <v>23</v>
      </c>
      <c r="O41" s="199">
        <f t="shared" si="41"/>
        <v>16.982436524617448</v>
      </c>
      <c r="P41" s="189" t="str">
        <f t="shared" si="32"/>
        <v>290</v>
      </c>
      <c r="Q41" s="160" t="e">
        <f t="shared" si="33"/>
        <v>#DIV/0!</v>
      </c>
      <c r="R41" s="160" t="e">
        <f t="shared" si="42"/>
        <v>#DIV/0!</v>
      </c>
      <c r="S41" s="160" t="e">
        <f t="shared" si="43"/>
        <v>#DIV/0!</v>
      </c>
      <c r="T41" s="160" t="e">
        <f t="shared" si="34"/>
        <v>#DIV/0!</v>
      </c>
      <c r="U41" s="160" t="e">
        <f t="shared" si="44"/>
        <v>#DIV/0!</v>
      </c>
      <c r="V41" s="160" t="e">
        <f t="shared" si="45"/>
        <v>#DIV/0!</v>
      </c>
      <c r="W41" s="98" t="str">
        <f t="shared" si="35"/>
        <v>1-0.000850295871598579i</v>
      </c>
      <c r="X41" s="160">
        <f t="shared" si="46"/>
        <v>1.0000003615014692</v>
      </c>
      <c r="Y41" s="160">
        <f t="shared" si="47"/>
        <v>-8.5029566667649292E-4</v>
      </c>
      <c r="Z41" s="98" t="str">
        <f t="shared" si="36"/>
        <v>0.999999994041257+0.000100970532449539i</v>
      </c>
      <c r="AA41" s="160">
        <f t="shared" si="48"/>
        <v>0.99999999913878113</v>
      </c>
      <c r="AB41" s="160">
        <f t="shared" si="49"/>
        <v>1.0097053270806331E-4</v>
      </c>
      <c r="AC41" s="171" t="e">
        <f t="shared" si="50"/>
        <v>#DIV/0!</v>
      </c>
      <c r="AD41" s="190" t="e">
        <f t="shared" si="51"/>
        <v>#DIV/0!</v>
      </c>
      <c r="AE41" s="169" t="e">
        <f t="shared" si="52"/>
        <v>#DIV/0!</v>
      </c>
      <c r="AF41" s="98" t="str">
        <f t="shared" si="37"/>
        <v>-0.0000182926829268293</v>
      </c>
      <c r="AG41" s="98" t="str">
        <f t="shared" si="38"/>
        <v>2.37095833937825E-06i</v>
      </c>
      <c r="AH41" s="98">
        <f t="shared" si="53"/>
        <v>2.3709583393782502E-6</v>
      </c>
      <c r="AI41" s="98">
        <f t="shared" si="54"/>
        <v>1.5707963267948966</v>
      </c>
      <c r="AJ41" s="98" t="str">
        <f t="shared" si="39"/>
        <v>1+0.000232424109340088i</v>
      </c>
      <c r="AK41" s="98">
        <f t="shared" si="55"/>
        <v>1.000000027010483</v>
      </c>
      <c r="AL41" s="98">
        <f t="shared" si="56"/>
        <v>2.3242410515482979E-4</v>
      </c>
      <c r="AM41" s="98" t="str">
        <f t="shared" si="40"/>
        <v>1+0.0234748350433489i</v>
      </c>
      <c r="AN41" s="98">
        <f t="shared" si="57"/>
        <v>1.0002754959911357</v>
      </c>
      <c r="AO41" s="98">
        <f t="shared" si="58"/>
        <v>2.3470524392673168E-2</v>
      </c>
      <c r="AP41" s="168" t="str">
        <f t="shared" si="59"/>
        <v>-0.17932243837507+7.7153535099492i</v>
      </c>
      <c r="AQ41" s="98">
        <f t="shared" si="60"/>
        <v>17.749462037784205</v>
      </c>
      <c r="AR41" s="169">
        <f t="shared" si="61"/>
        <v>91.331445070376546</v>
      </c>
      <c r="AS41" s="168" t="e">
        <f t="shared" si="62"/>
        <v>#DIV/0!</v>
      </c>
      <c r="AT41" s="190" t="e">
        <f t="shared" si="63"/>
        <v>#DIV/0!</v>
      </c>
      <c r="AU41" s="169" t="e">
        <f t="shared" si="64"/>
        <v>#DIV/0!</v>
      </c>
      <c r="AV41" s="225"/>
      <c r="AX41" t="e">
        <f t="shared" si="65"/>
        <v>#DIV/0!</v>
      </c>
      <c r="AY41" t="e">
        <f t="shared" si="66"/>
        <v>#DIV/0!</v>
      </c>
    </row>
    <row r="42" spans="1:51" x14ac:dyDescent="0.25">
      <c r="A42" s="98" t="s">
        <v>254</v>
      </c>
      <c r="B42" s="209" t="e">
        <f>1/(Cout*Resr)</f>
        <v>#DIV/0!</v>
      </c>
      <c r="C42" s="98" t="s">
        <v>251</v>
      </c>
      <c r="E42" s="98" t="s">
        <v>244</v>
      </c>
      <c r="N42" s="170">
        <v>24</v>
      </c>
      <c r="O42" s="199">
        <f t="shared" si="41"/>
        <v>17.378008287493756</v>
      </c>
      <c r="P42" s="189" t="str">
        <f t="shared" si="32"/>
        <v>290</v>
      </c>
      <c r="Q42" s="160" t="e">
        <f t="shared" si="33"/>
        <v>#DIV/0!</v>
      </c>
      <c r="R42" s="160" t="e">
        <f t="shared" si="42"/>
        <v>#DIV/0!</v>
      </c>
      <c r="S42" s="160" t="e">
        <f t="shared" si="43"/>
        <v>#DIV/0!</v>
      </c>
      <c r="T42" s="160" t="e">
        <f t="shared" si="34"/>
        <v>#DIV/0!</v>
      </c>
      <c r="U42" s="160" t="e">
        <f t="shared" si="44"/>
        <v>#DIV/0!</v>
      </c>
      <c r="V42" s="160" t="e">
        <f t="shared" si="45"/>
        <v>#DIV/0!</v>
      </c>
      <c r="W42" s="98" t="str">
        <f t="shared" si="35"/>
        <v>1-0.000870101806772085i</v>
      </c>
      <c r="X42" s="160">
        <f t="shared" si="46"/>
        <v>1.0000003785385054</v>
      </c>
      <c r="Y42" s="160">
        <f t="shared" si="47"/>
        <v>-8.7010158719411817E-4</v>
      </c>
      <c r="Z42" s="98" t="str">
        <f t="shared" si="36"/>
        <v>0.99999999376043+0.00010332243828247i</v>
      </c>
      <c r="AA42" s="160">
        <f t="shared" si="48"/>
        <v>0.99999999909819315</v>
      </c>
      <c r="AB42" s="160">
        <f t="shared" si="49"/>
        <v>1.033224385594838E-4</v>
      </c>
      <c r="AC42" s="171" t="e">
        <f t="shared" si="50"/>
        <v>#DIV/0!</v>
      </c>
      <c r="AD42" s="190" t="e">
        <f t="shared" si="51"/>
        <v>#DIV/0!</v>
      </c>
      <c r="AE42" s="169" t="e">
        <f t="shared" si="52"/>
        <v>#DIV/0!</v>
      </c>
      <c r="AF42" s="98" t="str">
        <f t="shared" si="37"/>
        <v>-0.0000182926829268293</v>
      </c>
      <c r="AG42" s="98" t="str">
        <f t="shared" si="38"/>
        <v>2.42618505367537E-06i</v>
      </c>
      <c r="AH42" s="98">
        <f t="shared" si="53"/>
        <v>2.4261850536753699E-6</v>
      </c>
      <c r="AI42" s="98">
        <f t="shared" si="54"/>
        <v>1.5707963267948966</v>
      </c>
      <c r="AJ42" s="98" t="str">
        <f t="shared" si="39"/>
        <v>1+0.000237837962324809i</v>
      </c>
      <c r="AK42" s="98">
        <f t="shared" si="55"/>
        <v>1.0000000282834478</v>
      </c>
      <c r="AL42" s="98">
        <f t="shared" si="56"/>
        <v>2.3783795784022404E-4</v>
      </c>
      <c r="AM42" s="98" t="str">
        <f t="shared" si="40"/>
        <v>1+0.0240216341948057i</v>
      </c>
      <c r="AN42" s="98">
        <f t="shared" si="57"/>
        <v>1.000288477844961</v>
      </c>
      <c r="AO42" s="98">
        <f t="shared" si="58"/>
        <v>2.4017015321329594E-2</v>
      </c>
      <c r="AP42" s="168" t="str">
        <f t="shared" si="59"/>
        <v>-0.179322437918529+7.53973254230628i</v>
      </c>
      <c r="AQ42" s="98">
        <f t="shared" si="60"/>
        <v>17.549574753889434</v>
      </c>
      <c r="AR42" s="169">
        <f t="shared" si="61"/>
        <v>91.362446503220966</v>
      </c>
      <c r="AS42" s="168" t="e">
        <f t="shared" si="62"/>
        <v>#DIV/0!</v>
      </c>
      <c r="AT42" s="190" t="e">
        <f t="shared" si="63"/>
        <v>#DIV/0!</v>
      </c>
      <c r="AU42" s="169" t="e">
        <f t="shared" si="64"/>
        <v>#DIV/0!</v>
      </c>
      <c r="AV42" s="225"/>
      <c r="AX42" t="e">
        <f t="shared" si="65"/>
        <v>#DIV/0!</v>
      </c>
      <c r="AY42" t="e">
        <f t="shared" si="66"/>
        <v>#DIV/0!</v>
      </c>
    </row>
    <row r="43" spans="1:51" x14ac:dyDescent="0.25">
      <c r="B43" s="209" t="e">
        <f>wz_esr/(2*PI())</f>
        <v>#DIV/0!</v>
      </c>
      <c r="C43" s="98" t="s">
        <v>69</v>
      </c>
      <c r="N43" s="170">
        <v>25</v>
      </c>
      <c r="O43" s="199">
        <f t="shared" si="41"/>
        <v>17.782794100389236</v>
      </c>
      <c r="P43" s="189" t="str">
        <f t="shared" si="32"/>
        <v>290</v>
      </c>
      <c r="Q43" s="160" t="e">
        <f t="shared" si="33"/>
        <v>#DIV/0!</v>
      </c>
      <c r="R43" s="160" t="e">
        <f t="shared" si="42"/>
        <v>#DIV/0!</v>
      </c>
      <c r="S43" s="160" t="e">
        <f t="shared" si="43"/>
        <v>#DIV/0!</v>
      </c>
      <c r="T43" s="160" t="e">
        <f t="shared" si="34"/>
        <v>#DIV/0!</v>
      </c>
      <c r="U43" s="160" t="e">
        <f t="shared" si="44"/>
        <v>#DIV/0!</v>
      </c>
      <c r="V43" s="160" t="e">
        <f t="shared" si="45"/>
        <v>#DIV/0!</v>
      </c>
      <c r="W43" s="98" t="str">
        <f t="shared" si="35"/>
        <v>1-0.000890369081440692i</v>
      </c>
      <c r="X43" s="160">
        <f t="shared" si="46"/>
        <v>1.000000396378472</v>
      </c>
      <c r="Y43" s="160">
        <f t="shared" si="47"/>
        <v>-8.9036884615866657E-4</v>
      </c>
      <c r="Z43" s="98" t="str">
        <f t="shared" si="36"/>
        <v>0.999999993466368+0.000105729127039812i</v>
      </c>
      <c r="AA43" s="160">
        <f t="shared" si="48"/>
        <v>0.99999999905569215</v>
      </c>
      <c r="AB43" s="160">
        <f t="shared" si="49"/>
        <v>1.0572912733663763E-4</v>
      </c>
      <c r="AC43" s="171" t="e">
        <f t="shared" si="50"/>
        <v>#DIV/0!</v>
      </c>
      <c r="AD43" s="190" t="e">
        <f t="shared" si="51"/>
        <v>#DIV/0!</v>
      </c>
      <c r="AE43" s="169" t="e">
        <f t="shared" si="52"/>
        <v>#DIV/0!</v>
      </c>
      <c r="AF43" s="98" t="str">
        <f t="shared" si="37"/>
        <v>-0.0000182926829268293</v>
      </c>
      <c r="AG43" s="98" t="str">
        <f t="shared" si="38"/>
        <v>2.48269816340232E-06i</v>
      </c>
      <c r="AH43" s="98">
        <f t="shared" si="53"/>
        <v>2.4826981634023201E-6</v>
      </c>
      <c r="AI43" s="98">
        <f t="shared" si="54"/>
        <v>1.5707963267948966</v>
      </c>
      <c r="AJ43" s="98" t="str">
        <f t="shared" si="39"/>
        <v>1+0.00024337792014531i</v>
      </c>
      <c r="AK43" s="98">
        <f t="shared" si="55"/>
        <v>1.0000000296164056</v>
      </c>
      <c r="AL43" s="98">
        <f t="shared" si="56"/>
        <v>2.4337791533999062E-4</v>
      </c>
      <c r="AM43" s="98" t="str">
        <f t="shared" si="40"/>
        <v>1+0.0245811699346763i</v>
      </c>
      <c r="AN43" s="98">
        <f t="shared" si="57"/>
        <v>1.0003020713341333</v>
      </c>
      <c r="AO43" s="98">
        <f t="shared" si="58"/>
        <v>2.4576220803294357E-2</v>
      </c>
      <c r="AP43" s="168" t="str">
        <f t="shared" si="59"/>
        <v>-0.179322437440469+7.3681092406574i</v>
      </c>
      <c r="AQ43" s="98">
        <f t="shared" si="60"/>
        <v>17.349692779005</v>
      </c>
      <c r="AR43" s="169">
        <f t="shared" si="61"/>
        <v>91.3941692010347</v>
      </c>
      <c r="AS43" s="168" t="e">
        <f t="shared" si="62"/>
        <v>#DIV/0!</v>
      </c>
      <c r="AT43" s="190" t="e">
        <f t="shared" si="63"/>
        <v>#DIV/0!</v>
      </c>
      <c r="AU43" s="169" t="e">
        <f t="shared" si="64"/>
        <v>#DIV/0!</v>
      </c>
      <c r="AV43" s="225"/>
      <c r="AX43" t="e">
        <f t="shared" si="65"/>
        <v>#DIV/0!</v>
      </c>
      <c r="AY43" t="e">
        <f t="shared" si="66"/>
        <v>#DIV/0!</v>
      </c>
    </row>
    <row r="44" spans="1:51" x14ac:dyDescent="0.25">
      <c r="B44" s="211"/>
      <c r="N44" s="170">
        <v>26</v>
      </c>
      <c r="O44" s="199">
        <f t="shared" si="41"/>
        <v>18.197008586099841</v>
      </c>
      <c r="P44" s="189" t="str">
        <f t="shared" si="32"/>
        <v>290</v>
      </c>
      <c r="Q44" s="160" t="e">
        <f t="shared" si="33"/>
        <v>#DIV/0!</v>
      </c>
      <c r="R44" s="160" t="e">
        <f t="shared" si="42"/>
        <v>#DIV/0!</v>
      </c>
      <c r="S44" s="160" t="e">
        <f t="shared" si="43"/>
        <v>#DIV/0!</v>
      </c>
      <c r="T44" s="160" t="e">
        <f t="shared" si="34"/>
        <v>#DIV/0!</v>
      </c>
      <c r="U44" s="160" t="e">
        <f t="shared" si="44"/>
        <v>#DIV/0!</v>
      </c>
      <c r="V44" s="160" t="e">
        <f t="shared" si="45"/>
        <v>#DIV/0!</v>
      </c>
      <c r="W44" s="98" t="str">
        <f t="shared" si="35"/>
        <v>1-0.000911108441581714i</v>
      </c>
      <c r="X44" s="160">
        <f t="shared" si="46"/>
        <v>1.0000004150592101</v>
      </c>
      <c r="Y44" s="160">
        <f t="shared" si="47"/>
        <v>-9.1110818947248728E-4</v>
      </c>
      <c r="Z44" s="98" t="str">
        <f t="shared" si="36"/>
        <v>0.999999993158448+0.000108191874779802i</v>
      </c>
      <c r="AA44" s="160">
        <f t="shared" si="48"/>
        <v>0.99999999901118897</v>
      </c>
      <c r="AB44" s="160">
        <f t="shared" si="49"/>
        <v>1.0819187509785633E-4</v>
      </c>
      <c r="AC44" s="171" t="e">
        <f t="shared" si="50"/>
        <v>#DIV/0!</v>
      </c>
      <c r="AD44" s="190" t="e">
        <f t="shared" si="51"/>
        <v>#DIV/0!</v>
      </c>
      <c r="AE44" s="169" t="e">
        <f t="shared" si="52"/>
        <v>#DIV/0!</v>
      </c>
      <c r="AF44" s="98" t="str">
        <f t="shared" si="37"/>
        <v>-0.0000182926829268293</v>
      </c>
      <c r="AG44" s="98" t="str">
        <f t="shared" si="38"/>
        <v>2.54052763255789E-06i</v>
      </c>
      <c r="AH44" s="98">
        <f t="shared" si="53"/>
        <v>2.5405276325578901E-6</v>
      </c>
      <c r="AI44" s="98">
        <f t="shared" si="54"/>
        <v>1.5707963267948966</v>
      </c>
      <c r="AJ44" s="98" t="str">
        <f t="shared" si="39"/>
        <v>1+0.000249046920160561i</v>
      </c>
      <c r="AK44" s="98">
        <f t="shared" si="55"/>
        <v>1.0000000310121837</v>
      </c>
      <c r="AL44" s="98">
        <f t="shared" si="56"/>
        <v>2.4904691501156852E-4</v>
      </c>
      <c r="AM44" s="98" t="str">
        <f t="shared" si="40"/>
        <v>1+0.0251537389362166i</v>
      </c>
      <c r="AN44" s="98">
        <f t="shared" si="57"/>
        <v>1.0003163052667248</v>
      </c>
      <c r="AO44" s="98">
        <f t="shared" si="58"/>
        <v>2.5148435936958102E-2</v>
      </c>
      <c r="AP44" s="168" t="str">
        <f t="shared" si="59"/>
        <v>-0.17932243693988+7.20039260805638i</v>
      </c>
      <c r="AQ44" s="98">
        <f t="shared" si="60"/>
        <v>17.149816363034546</v>
      </c>
      <c r="AR44" s="169">
        <f t="shared" si="61"/>
        <v>91.426629903411907</v>
      </c>
      <c r="AS44" s="168" t="e">
        <f t="shared" si="62"/>
        <v>#DIV/0!</v>
      </c>
      <c r="AT44" s="190" t="e">
        <f t="shared" si="63"/>
        <v>#DIV/0!</v>
      </c>
      <c r="AU44" s="169" t="e">
        <f t="shared" si="64"/>
        <v>#DIV/0!</v>
      </c>
      <c r="AV44" s="225"/>
      <c r="AX44" t="e">
        <f t="shared" si="65"/>
        <v>#DIV/0!</v>
      </c>
      <c r="AY44" t="e">
        <f t="shared" si="66"/>
        <v>#DIV/0!</v>
      </c>
    </row>
    <row r="45" spans="1:51" x14ac:dyDescent="0.25">
      <c r="A45" s="98" t="s">
        <v>247</v>
      </c>
      <c r="B45" s="211">
        <f>(Isl*(Rsl_int+R_sl)*Fsw)</f>
        <v>17595.599999999999</v>
      </c>
      <c r="C45" s="98" t="s">
        <v>180</v>
      </c>
      <c r="E45" s="98" t="s">
        <v>248</v>
      </c>
      <c r="N45" s="170">
        <v>27</v>
      </c>
      <c r="O45" s="199">
        <f t="shared" si="41"/>
        <v>18.62087136662868</v>
      </c>
      <c r="P45" s="189" t="str">
        <f t="shared" si="32"/>
        <v>290</v>
      </c>
      <c r="Q45" s="160" t="e">
        <f t="shared" si="33"/>
        <v>#DIV/0!</v>
      </c>
      <c r="R45" s="160" t="e">
        <f t="shared" si="42"/>
        <v>#DIV/0!</v>
      </c>
      <c r="S45" s="160" t="e">
        <f t="shared" si="43"/>
        <v>#DIV/0!</v>
      </c>
      <c r="T45" s="160" t="e">
        <f t="shared" si="34"/>
        <v>#DIV/0!</v>
      </c>
      <c r="U45" s="160" t="e">
        <f t="shared" si="44"/>
        <v>#DIV/0!</v>
      </c>
      <c r="V45" s="160" t="e">
        <f t="shared" si="45"/>
        <v>#DIV/0!</v>
      </c>
      <c r="W45" s="98" t="str">
        <f t="shared" si="35"/>
        <v>1-0.000932330883478406i</v>
      </c>
      <c r="X45" s="160">
        <f t="shared" si="46"/>
        <v>1.0000004346203437</v>
      </c>
      <c r="Y45" s="160">
        <f t="shared" si="47"/>
        <v>-9.3233061333850887E-4</v>
      </c>
      <c r="Z45" s="98" t="str">
        <f t="shared" si="36"/>
        <v>0.999999992836015+0.000110711987283888i</v>
      </c>
      <c r="AA45" s="160">
        <f t="shared" si="48"/>
        <v>0.99999999896458713</v>
      </c>
      <c r="AB45" s="160">
        <f t="shared" si="49"/>
        <v>1.1071198762468942E-4</v>
      </c>
      <c r="AC45" s="171" t="e">
        <f t="shared" si="50"/>
        <v>#DIV/0!</v>
      </c>
      <c r="AD45" s="190" t="e">
        <f t="shared" si="51"/>
        <v>#DIV/0!</v>
      </c>
      <c r="AE45" s="169" t="e">
        <f t="shared" si="52"/>
        <v>#DIV/0!</v>
      </c>
      <c r="AF45" s="98" t="str">
        <f t="shared" si="37"/>
        <v>-0.0000182926829268293</v>
      </c>
      <c r="AG45" s="98" t="str">
        <f t="shared" si="38"/>
        <v>0.0000025997041230921i</v>
      </c>
      <c r="AH45" s="98">
        <f t="shared" si="53"/>
        <v>2.5997041230921001E-6</v>
      </c>
      <c r="AI45" s="98">
        <f t="shared" si="54"/>
        <v>1.5707963267948966</v>
      </c>
      <c r="AJ45" s="98" t="str">
        <f t="shared" si="39"/>
        <v>1+0.000254847968149406i</v>
      </c>
      <c r="AK45" s="98">
        <f t="shared" si="55"/>
        <v>1.000000032473743</v>
      </c>
      <c r="AL45" s="98">
        <f t="shared" si="56"/>
        <v>2.5484796263216121E-4</v>
      </c>
      <c r="AM45" s="98" t="str">
        <f t="shared" si="40"/>
        <v>1+0.02573964478309i</v>
      </c>
      <c r="AN45" s="98">
        <f t="shared" si="57"/>
        <v>1.0003312098068118</v>
      </c>
      <c r="AO45" s="98">
        <f t="shared" si="58"/>
        <v>2.5733962618616213E-2</v>
      </c>
      <c r="AP45" s="168" t="str">
        <f t="shared" si="59"/>
        <v>-0.1793224364157+7.03649371892462i</v>
      </c>
      <c r="AQ45" s="98">
        <f t="shared" si="60"/>
        <v>16.949945767630105</v>
      </c>
      <c r="AR45" s="169">
        <f t="shared" si="61"/>
        <v>91.459845735517803</v>
      </c>
      <c r="AS45" s="168" t="e">
        <f t="shared" si="62"/>
        <v>#DIV/0!</v>
      </c>
      <c r="AT45" s="190" t="e">
        <f t="shared" si="63"/>
        <v>#DIV/0!</v>
      </c>
      <c r="AU45" s="169" t="e">
        <f t="shared" si="64"/>
        <v>#DIV/0!</v>
      </c>
      <c r="AV45" s="225"/>
      <c r="AX45" t="e">
        <f t="shared" si="65"/>
        <v>#DIV/0!</v>
      </c>
      <c r="AY45" t="e">
        <f t="shared" si="66"/>
        <v>#DIV/0!</v>
      </c>
    </row>
    <row r="46" spans="1:51" x14ac:dyDescent="0.25">
      <c r="A46" s="98" t="s">
        <v>250</v>
      </c>
      <c r="B46" s="211">
        <f>(R_cs*VIN_var*Acs)/Lm</f>
        <v>4235.2941176470595</v>
      </c>
      <c r="C46" s="98" t="s">
        <v>180</v>
      </c>
      <c r="E46" s="98" t="s">
        <v>249</v>
      </c>
      <c r="N46" s="170">
        <v>28</v>
      </c>
      <c r="O46" s="199">
        <f t="shared" si="41"/>
        <v>19.054607179632477</v>
      </c>
      <c r="P46" s="189" t="str">
        <f t="shared" si="32"/>
        <v>290</v>
      </c>
      <c r="Q46" s="160" t="e">
        <f t="shared" si="33"/>
        <v>#DIV/0!</v>
      </c>
      <c r="R46" s="160" t="e">
        <f t="shared" si="42"/>
        <v>#DIV/0!</v>
      </c>
      <c r="S46" s="160" t="e">
        <f t="shared" si="43"/>
        <v>#DIV/0!</v>
      </c>
      <c r="T46" s="160" t="e">
        <f t="shared" si="34"/>
        <v>#DIV/0!</v>
      </c>
      <c r="U46" s="160" t="e">
        <f t="shared" si="44"/>
        <v>#DIV/0!</v>
      </c>
      <c r="V46" s="160" t="e">
        <f t="shared" si="45"/>
        <v>#DIV/0!</v>
      </c>
      <c r="W46" s="98" t="str">
        <f t="shared" si="35"/>
        <v>1-0.000954047659550377i</v>
      </c>
      <c r="X46" s="160">
        <f t="shared" si="46"/>
        <v>1.0000004551033648</v>
      </c>
      <c r="Y46" s="160">
        <f t="shared" si="47"/>
        <v>-9.5404737009026916E-4</v>
      </c>
      <c r="Z46" s="98" t="str">
        <f t="shared" si="36"/>
        <v>0.999999992498387+0.000113290800749078i</v>
      </c>
      <c r="AA46" s="160">
        <f t="shared" si="48"/>
        <v>0.99999999891578983</v>
      </c>
      <c r="AB46" s="160">
        <f t="shared" si="49"/>
        <v>1.1329080111425327E-4</v>
      </c>
      <c r="AC46" s="171" t="e">
        <f t="shared" si="50"/>
        <v>#DIV/0!</v>
      </c>
      <c r="AD46" s="190" t="e">
        <f t="shared" si="51"/>
        <v>#DIV/0!</v>
      </c>
      <c r="AE46" s="169" t="e">
        <f t="shared" si="52"/>
        <v>#DIV/0!</v>
      </c>
      <c r="AF46" s="98" t="str">
        <f t="shared" si="37"/>
        <v>-0.0000182926829268293</v>
      </c>
      <c r="AG46" s="98" t="str">
        <f t="shared" si="38"/>
        <v>2.66025901116353E-06i</v>
      </c>
      <c r="AH46" s="98">
        <f t="shared" si="53"/>
        <v>2.6602590111635301E-6</v>
      </c>
      <c r="AI46" s="98">
        <f t="shared" si="54"/>
        <v>1.5707963267948966</v>
      </c>
      <c r="AJ46" s="98" t="str">
        <f t="shared" si="39"/>
        <v>1+0.000260784139904276i</v>
      </c>
      <c r="AK46" s="98">
        <f t="shared" si="55"/>
        <v>1.0000000340041832</v>
      </c>
      <c r="AL46" s="98">
        <f t="shared" si="56"/>
        <v>2.6078413399244167E-4</v>
      </c>
      <c r="AM46" s="98" t="str">
        <f t="shared" si="40"/>
        <v>1+0.0263391981303319i</v>
      </c>
      <c r="AN46" s="98">
        <f t="shared" si="57"/>
        <v>1.0003468165382188</v>
      </c>
      <c r="AO46" s="98">
        <f t="shared" si="58"/>
        <v>2.6333109695403051E-2</v>
      </c>
      <c r="AP46" s="168" t="str">
        <f t="shared" si="59"/>
        <v>-0.179322435866815+6.8763256719016i</v>
      </c>
      <c r="AQ46" s="98">
        <f t="shared" si="60"/>
        <v>16.750081266742978</v>
      </c>
      <c r="AR46" s="169">
        <f t="shared" si="61"/>
        <v>91.493834216759879</v>
      </c>
      <c r="AS46" s="168" t="e">
        <f t="shared" si="62"/>
        <v>#DIV/0!</v>
      </c>
      <c r="AT46" s="190" t="e">
        <f t="shared" si="63"/>
        <v>#DIV/0!</v>
      </c>
      <c r="AU46" s="169" t="e">
        <f t="shared" si="64"/>
        <v>#DIV/0!</v>
      </c>
      <c r="AV46" s="225"/>
      <c r="AX46" t="e">
        <f t="shared" si="65"/>
        <v>#DIV/0!</v>
      </c>
      <c r="AY46" t="e">
        <f t="shared" si="66"/>
        <v>#DIV/0!</v>
      </c>
    </row>
    <row r="47" spans="1:51" x14ac:dyDescent="0.25">
      <c r="B47" s="211"/>
      <c r="N47" s="170">
        <v>29</v>
      </c>
      <c r="O47" s="199">
        <f t="shared" si="41"/>
        <v>19.498445997580465</v>
      </c>
      <c r="P47" s="189" t="str">
        <f t="shared" si="32"/>
        <v>290</v>
      </c>
      <c r="Q47" s="160" t="e">
        <f t="shared" si="33"/>
        <v>#DIV/0!</v>
      </c>
      <c r="R47" s="160" t="e">
        <f t="shared" si="42"/>
        <v>#DIV/0!</v>
      </c>
      <c r="S47" s="160" t="e">
        <f t="shared" si="43"/>
        <v>#DIV/0!</v>
      </c>
      <c r="T47" s="160" t="e">
        <f t="shared" si="34"/>
        <v>#DIV/0!</v>
      </c>
      <c r="U47" s="160" t="e">
        <f t="shared" si="44"/>
        <v>#DIV/0!</v>
      </c>
      <c r="V47" s="160" t="e">
        <f t="shared" si="45"/>
        <v>#DIV/0!</v>
      </c>
      <c r="W47" s="98" t="str">
        <f t="shared" si="35"/>
        <v>1-0.000976270284319758i</v>
      </c>
      <c r="X47" s="160">
        <f t="shared" si="46"/>
        <v>1.0000004765517205</v>
      </c>
      <c r="Y47" s="160">
        <f t="shared" si="47"/>
        <v>-9.7626997415767238E-4</v>
      </c>
      <c r="Z47" s="98" t="str">
        <f t="shared" si="36"/>
        <v>0.999999992144847+0.000115929682496407i</v>
      </c>
      <c r="AA47" s="160">
        <f t="shared" si="48"/>
        <v>0.99999999886469282</v>
      </c>
      <c r="AB47" s="160">
        <f t="shared" si="49"/>
        <v>1.1592968288769933E-4</v>
      </c>
      <c r="AC47" s="171" t="e">
        <f t="shared" si="50"/>
        <v>#DIV/0!</v>
      </c>
      <c r="AD47" s="190" t="e">
        <f t="shared" si="51"/>
        <v>#DIV/0!</v>
      </c>
      <c r="AE47" s="169" t="e">
        <f t="shared" si="52"/>
        <v>#DIV/0!</v>
      </c>
      <c r="AF47" s="98" t="str">
        <f t="shared" si="37"/>
        <v>-0.0000182926829268293</v>
      </c>
      <c r="AG47" s="98" t="str">
        <f t="shared" si="38"/>
        <v>2.72222440377537E-06i</v>
      </c>
      <c r="AH47" s="98">
        <f t="shared" si="53"/>
        <v>2.7222244037753698E-6</v>
      </c>
      <c r="AI47" s="98">
        <f t="shared" si="54"/>
        <v>1.5707963267948966</v>
      </c>
      <c r="AJ47" s="98" t="str">
        <f t="shared" si="39"/>
        <v>1+0.00026685858286201i</v>
      </c>
      <c r="AK47" s="98">
        <f t="shared" si="55"/>
        <v>1.0000000356067511</v>
      </c>
      <c r="AL47" s="98">
        <f t="shared" si="56"/>
        <v>2.6685857652736542E-4</v>
      </c>
      <c r="AM47" s="98" t="str">
        <f t="shared" si="40"/>
        <v>1+0.026952716869063i</v>
      </c>
      <c r="AN47" s="98">
        <f t="shared" si="57"/>
        <v>1.0003631585312525</v>
      </c>
      <c r="AO47" s="98">
        <f t="shared" si="58"/>
        <v>2.6946193121402721E-2</v>
      </c>
      <c r="AP47" s="168" t="str">
        <f t="shared" si="59"/>
        <v>-0.179322435292063+6.71980354376875i</v>
      </c>
      <c r="AQ47" s="98">
        <f t="shared" si="60"/>
        <v>16.550223147200477</v>
      </c>
      <c r="AR47" s="169">
        <f t="shared" si="61"/>
        <v>91.528613269638939</v>
      </c>
      <c r="AS47" s="168" t="e">
        <f t="shared" si="62"/>
        <v>#DIV/0!</v>
      </c>
      <c r="AT47" s="190" t="e">
        <f t="shared" si="63"/>
        <v>#DIV/0!</v>
      </c>
      <c r="AU47" s="169" t="e">
        <f t="shared" si="64"/>
        <v>#DIV/0!</v>
      </c>
      <c r="AV47" s="225"/>
      <c r="AX47" t="e">
        <f t="shared" si="65"/>
        <v>#DIV/0!</v>
      </c>
      <c r="AY47" t="e">
        <f t="shared" si="66"/>
        <v>#DIV/0!</v>
      </c>
    </row>
    <row r="48" spans="1:51" x14ac:dyDescent="0.25">
      <c r="A48" s="98" t="s">
        <v>245</v>
      </c>
      <c r="B48" s="211">
        <f>2*PI()*Fsw</f>
        <v>2764601.5351590179</v>
      </c>
      <c r="C48" s="98" t="s">
        <v>251</v>
      </c>
      <c r="N48" s="170">
        <v>30</v>
      </c>
      <c r="O48" s="199">
        <f t="shared" si="41"/>
        <v>19.952623149688804</v>
      </c>
      <c r="P48" s="189" t="str">
        <f t="shared" si="32"/>
        <v>290</v>
      </c>
      <c r="Q48" s="160" t="e">
        <f t="shared" si="33"/>
        <v>#DIV/0!</v>
      </c>
      <c r="R48" s="160" t="e">
        <f t="shared" si="42"/>
        <v>#DIV/0!</v>
      </c>
      <c r="S48" s="160" t="e">
        <f t="shared" si="43"/>
        <v>#DIV/0!</v>
      </c>
      <c r="T48" s="160" t="e">
        <f t="shared" si="34"/>
        <v>#DIV/0!</v>
      </c>
      <c r="U48" s="160" t="e">
        <f t="shared" si="44"/>
        <v>#DIV/0!</v>
      </c>
      <c r="V48" s="160" t="e">
        <f t="shared" si="45"/>
        <v>#DIV/0!</v>
      </c>
      <c r="W48" s="98" t="str">
        <f t="shared" si="35"/>
        <v>1-0.000999010540516349i</v>
      </c>
      <c r="X48" s="160">
        <f t="shared" si="46"/>
        <v>1.0000004990109055</v>
      </c>
      <c r="Y48" s="160">
        <f t="shared" si="47"/>
        <v>-9.9901020817169542E-4</v>
      </c>
      <c r="Z48" s="98" t="str">
        <f t="shared" si="36"/>
        <v>0.999999991774645+0.000118630031695906i</v>
      </c>
      <c r="AA48" s="160">
        <f t="shared" si="48"/>
        <v>0.99999999881118717</v>
      </c>
      <c r="AB48" s="160">
        <f t="shared" si="49"/>
        <v>1.186300321151833E-4</v>
      </c>
      <c r="AC48" s="171" t="e">
        <f t="shared" si="50"/>
        <v>#DIV/0!</v>
      </c>
      <c r="AD48" s="190" t="e">
        <f t="shared" si="51"/>
        <v>#DIV/0!</v>
      </c>
      <c r="AE48" s="169" t="e">
        <f t="shared" si="52"/>
        <v>#DIV/0!</v>
      </c>
      <c r="AF48" s="98" t="str">
        <f t="shared" si="37"/>
        <v>-0.0000182926829268293</v>
      </c>
      <c r="AG48" s="98" t="str">
        <f t="shared" si="38"/>
        <v>2.78563315579899E-06i</v>
      </c>
      <c r="AH48" s="98">
        <f t="shared" si="53"/>
        <v>2.7856331557989898E-6</v>
      </c>
      <c r="AI48" s="98">
        <f t="shared" si="54"/>
        <v>1.5707963267948966</v>
      </c>
      <c r="AJ48" s="98" t="str">
        <f t="shared" si="39"/>
        <v>1+0.000273074517772669i</v>
      </c>
      <c r="AK48" s="98">
        <f t="shared" si="55"/>
        <v>1.0000000372848454</v>
      </c>
      <c r="AL48" s="98">
        <f t="shared" si="56"/>
        <v>2.7307451098497508E-4</v>
      </c>
      <c r="AM48" s="98" t="str">
        <f t="shared" si="40"/>
        <v>1+0.0275805262950395i</v>
      </c>
      <c r="AN48" s="98">
        <f t="shared" si="57"/>
        <v>1.0003802704125624</v>
      </c>
      <c r="AO48" s="98">
        <f t="shared" si="58"/>
        <v>2.7573536116983551E-2</v>
      </c>
      <c r="AP48" s="168" t="str">
        <f t="shared" si="59"/>
        <v>-0.179322434690223+6.56684434442191i</v>
      </c>
      <c r="AQ48" s="98">
        <f t="shared" si="60"/>
        <v>16.350371709309194</v>
      </c>
      <c r="AR48" s="169">
        <f t="shared" si="61"/>
        <v>91.56420122878265</v>
      </c>
      <c r="AS48" s="168" t="e">
        <f t="shared" si="62"/>
        <v>#DIV/0!</v>
      </c>
      <c r="AT48" s="190" t="e">
        <f t="shared" si="63"/>
        <v>#DIV/0!</v>
      </c>
      <c r="AU48" s="169" t="e">
        <f t="shared" si="64"/>
        <v>#DIV/0!</v>
      </c>
      <c r="AV48" s="225"/>
      <c r="AX48" t="e">
        <f t="shared" si="65"/>
        <v>#DIV/0!</v>
      </c>
      <c r="AY48" t="e">
        <f t="shared" si="66"/>
        <v>#DIV/0!</v>
      </c>
    </row>
    <row r="49" spans="1:51" x14ac:dyDescent="0.25">
      <c r="A49" s="98" t="s">
        <v>246</v>
      </c>
      <c r="B49" s="211">
        <f>1/(PI()*(((VIN_var/VOUT)*(1+(B45/B46)))-0.5))</f>
        <v>0.76450912381088498</v>
      </c>
      <c r="N49" s="170">
        <v>31</v>
      </c>
      <c r="O49" s="199">
        <f t="shared" si="41"/>
        <v>20.4173794466953</v>
      </c>
      <c r="P49" s="189" t="str">
        <f t="shared" si="32"/>
        <v>290</v>
      </c>
      <c r="Q49" s="160" t="e">
        <f t="shared" si="33"/>
        <v>#DIV/0!</v>
      </c>
      <c r="R49" s="160" t="e">
        <f t="shared" si="42"/>
        <v>#DIV/0!</v>
      </c>
      <c r="S49" s="160" t="e">
        <f t="shared" si="43"/>
        <v>#DIV/0!</v>
      </c>
      <c r="T49" s="160" t="e">
        <f t="shared" si="34"/>
        <v>#DIV/0!</v>
      </c>
      <c r="U49" s="160" t="e">
        <f t="shared" si="44"/>
        <v>#DIV/0!</v>
      </c>
      <c r="V49" s="160" t="e">
        <f t="shared" si="45"/>
        <v>#DIV/0!</v>
      </c>
      <c r="W49" s="98" t="str">
        <f t="shared" si="35"/>
        <v>1-0.00102228048532499i</v>
      </c>
      <c r="X49" s="160">
        <f t="shared" si="46"/>
        <v>1.0000005225285589</v>
      </c>
      <c r="Y49" s="160">
        <f t="shared" si="47"/>
        <v>-1.0222801292112879E-3</v>
      </c>
      <c r="Z49" s="98" t="str">
        <f t="shared" si="36"/>
        <v>0.999999991386996+0.000121393280108464i</v>
      </c>
      <c r="AA49" s="160">
        <f t="shared" si="48"/>
        <v>0.99999999875516021</v>
      </c>
      <c r="AB49" s="160">
        <f t="shared" si="49"/>
        <v>1.2139328055772773E-4</v>
      </c>
      <c r="AC49" s="171" t="e">
        <f t="shared" si="50"/>
        <v>#DIV/0!</v>
      </c>
      <c r="AD49" s="190" t="e">
        <f t="shared" si="51"/>
        <v>#DIV/0!</v>
      </c>
      <c r="AE49" s="169" t="e">
        <f t="shared" si="52"/>
        <v>#DIV/0!</v>
      </c>
      <c r="AF49" s="98" t="str">
        <f t="shared" si="37"/>
        <v>-0.0000182926829268293</v>
      </c>
      <c r="AG49" s="98" t="str">
        <f t="shared" si="38"/>
        <v>2.85051888739403E-06i</v>
      </c>
      <c r="AH49" s="98">
        <f t="shared" si="53"/>
        <v>2.8505188873940301E-6</v>
      </c>
      <c r="AI49" s="98">
        <f t="shared" si="54"/>
        <v>1.5707963267948966</v>
      </c>
      <c r="AJ49" s="98" t="str">
        <f t="shared" si="39"/>
        <v>1+0.000279435240407217i</v>
      </c>
      <c r="AK49" s="98">
        <f t="shared" si="55"/>
        <v>1.0000000390420261</v>
      </c>
      <c r="AL49" s="98">
        <f t="shared" si="56"/>
        <v>2.7943523313407191E-4</v>
      </c>
      <c r="AM49" s="98" t="str">
        <f t="shared" si="40"/>
        <v>1+0.0282229592811289i</v>
      </c>
      <c r="AN49" s="98">
        <f t="shared" si="57"/>
        <v>1.000398188438276</v>
      </c>
      <c r="AO49" s="98">
        <f t="shared" si="58"/>
        <v>2.8215469331401587E-2</v>
      </c>
      <c r="AP49" s="168" t="str">
        <f t="shared" si="59"/>
        <v>-0.179322434060019+6.41736697286893i</v>
      </c>
      <c r="AQ49" s="98">
        <f t="shared" si="60"/>
        <v>16.150527267486648</v>
      </c>
      <c r="AR49" s="169">
        <f t="shared" si="61"/>
        <v>91.600616850164286</v>
      </c>
      <c r="AS49" s="168" t="e">
        <f t="shared" si="62"/>
        <v>#DIV/0!</v>
      </c>
      <c r="AT49" s="190" t="e">
        <f t="shared" si="63"/>
        <v>#DIV/0!</v>
      </c>
      <c r="AU49" s="169" t="e">
        <f t="shared" si="64"/>
        <v>#DIV/0!</v>
      </c>
      <c r="AV49" s="225"/>
      <c r="AX49" t="e">
        <f t="shared" si="65"/>
        <v>#DIV/0!</v>
      </c>
      <c r="AY49" t="e">
        <f t="shared" si="66"/>
        <v>#DIV/0!</v>
      </c>
    </row>
    <row r="50" spans="1:51" x14ac:dyDescent="0.25">
      <c r="A50" s="98" t="s">
        <v>544</v>
      </c>
      <c r="B50" s="209">
        <f>2*Fsw*((1-1/(B20/B17))/Dc_VIN_nom)^2</f>
        <v>880000</v>
      </c>
      <c r="C50" s="98" t="s">
        <v>251</v>
      </c>
      <c r="E50" s="98" t="s">
        <v>545</v>
      </c>
      <c r="N50" s="170">
        <v>32</v>
      </c>
      <c r="O50" s="199">
        <f t="shared" si="41"/>
        <v>20.8929613085404</v>
      </c>
      <c r="P50" s="189" t="str">
        <f t="shared" si="32"/>
        <v>290</v>
      </c>
      <c r="Q50" s="160" t="e">
        <f t="shared" si="33"/>
        <v>#DIV/0!</v>
      </c>
      <c r="R50" s="160" t="e">
        <f t="shared" si="42"/>
        <v>#DIV/0!</v>
      </c>
      <c r="S50" s="160" t="e">
        <f t="shared" si="43"/>
        <v>#DIV/0!</v>
      </c>
      <c r="T50" s="160" t="e">
        <f t="shared" si="34"/>
        <v>#DIV/0!</v>
      </c>
      <c r="U50" s="160" t="e">
        <f t="shared" si="44"/>
        <v>#DIV/0!</v>
      </c>
      <c r="V50" s="160" t="e">
        <f t="shared" si="45"/>
        <v>#DIV/0!</v>
      </c>
      <c r="W50" s="98" t="str">
        <f t="shared" si="35"/>
        <v>1-0.00104609245677843i</v>
      </c>
      <c r="X50" s="160">
        <f t="shared" si="46"/>
        <v>1.0000005471545643</v>
      </c>
      <c r="Y50" s="160">
        <f t="shared" si="47"/>
        <v>-1.0460920751957344E-3</v>
      </c>
      <c r="Z50" s="98" t="str">
        <f t="shared" si="36"/>
        <v>0.999999990981078+0.000124220892844967i</v>
      </c>
      <c r="AA50" s="160">
        <f t="shared" si="48"/>
        <v>0.99999999869649303</v>
      </c>
      <c r="AB50" s="160">
        <f t="shared" si="49"/>
        <v>1.2422089332636172E-4</v>
      </c>
      <c r="AC50" s="171" t="e">
        <f t="shared" si="50"/>
        <v>#DIV/0!</v>
      </c>
      <c r="AD50" s="190" t="e">
        <f t="shared" si="51"/>
        <v>#DIV/0!</v>
      </c>
      <c r="AE50" s="169" t="e">
        <f t="shared" si="52"/>
        <v>#DIV/0!</v>
      </c>
      <c r="AF50" s="98" t="str">
        <f t="shared" si="37"/>
        <v>-0.0000182926829268293</v>
      </c>
      <c r="AG50" s="98" t="str">
        <f t="shared" si="38"/>
        <v>2.91691600183424E-06i</v>
      </c>
      <c r="AH50" s="98">
        <f t="shared" si="53"/>
        <v>2.9169160018342401E-6</v>
      </c>
      <c r="AI50" s="98">
        <f t="shared" si="54"/>
        <v>1.5707963267948966</v>
      </c>
      <c r="AJ50" s="98" t="str">
        <f t="shared" si="39"/>
        <v>1+0.000285944123304995i</v>
      </c>
      <c r="AK50" s="98">
        <f t="shared" si="55"/>
        <v>1.00000004088202</v>
      </c>
      <c r="AL50" s="98">
        <f t="shared" si="56"/>
        <v>2.8594411551167965E-4</v>
      </c>
      <c r="AM50" s="98" t="str">
        <f t="shared" si="40"/>
        <v>1+0.0288803564538044i</v>
      </c>
      <c r="AN50" s="98">
        <f t="shared" si="57"/>
        <v>1.0004169505705602</v>
      </c>
      <c r="AO50" s="98">
        <f t="shared" si="58"/>
        <v>2.8872331008719332E-2</v>
      </c>
      <c r="AP50" s="168" t="str">
        <f t="shared" si="59"/>
        <v>-0.179322433400115+6.27129217422885i</v>
      </c>
      <c r="AQ50" s="98">
        <f t="shared" si="60"/>
        <v>15.950690150922249</v>
      </c>
      <c r="AR50" s="169">
        <f t="shared" si="61"/>
        <v>91.637879320508887</v>
      </c>
      <c r="AS50" s="168" t="e">
        <f t="shared" si="62"/>
        <v>#DIV/0!</v>
      </c>
      <c r="AT50" s="190" t="e">
        <f t="shared" si="63"/>
        <v>#DIV/0!</v>
      </c>
      <c r="AU50" s="169" t="e">
        <f t="shared" si="64"/>
        <v>#DIV/0!</v>
      </c>
      <c r="AV50" s="225"/>
      <c r="AX50" t="e">
        <f t="shared" si="65"/>
        <v>#DIV/0!</v>
      </c>
      <c r="AY50" t="e">
        <f t="shared" si="66"/>
        <v>#DIV/0!</v>
      </c>
    </row>
    <row r="51" spans="1:51" x14ac:dyDescent="0.25">
      <c r="N51" s="170">
        <v>33</v>
      </c>
      <c r="O51" s="199">
        <f t="shared" si="41"/>
        <v>21.379620895022335</v>
      </c>
      <c r="P51" s="189" t="str">
        <f t="shared" si="32"/>
        <v>290</v>
      </c>
      <c r="Q51" s="160" t="e">
        <f t="shared" si="33"/>
        <v>#DIV/0!</v>
      </c>
      <c r="R51" s="160" t="e">
        <f t="shared" si="42"/>
        <v>#DIV/0!</v>
      </c>
      <c r="S51" s="160" t="e">
        <f t="shared" si="43"/>
        <v>#DIV/0!</v>
      </c>
      <c r="T51" s="160" t="e">
        <f t="shared" si="34"/>
        <v>#DIV/0!</v>
      </c>
      <c r="U51" s="160" t="e">
        <f t="shared" si="44"/>
        <v>#DIV/0!</v>
      </c>
      <c r="V51" s="160" t="e">
        <f t="shared" si="45"/>
        <v>#DIV/0!</v>
      </c>
      <c r="W51" s="98" t="str">
        <f t="shared" si="35"/>
        <v>1-0.00107045908029912i</v>
      </c>
      <c r="X51" s="160">
        <f t="shared" si="46"/>
        <v>1.0000005729411572</v>
      </c>
      <c r="Y51" s="160">
        <f t="shared" si="47"/>
        <v>-1.0704586714259078E-3</v>
      </c>
      <c r="Z51" s="98" t="str">
        <f t="shared" si="36"/>
        <v>0.999999990556029+0.000127114369143113i</v>
      </c>
      <c r="AA51" s="160">
        <f t="shared" si="48"/>
        <v>0.99999999863506028</v>
      </c>
      <c r="AB51" s="160">
        <f t="shared" si="49"/>
        <v>1.2711436965893676E-4</v>
      </c>
      <c r="AC51" s="171" t="e">
        <f t="shared" si="50"/>
        <v>#DIV/0!</v>
      </c>
      <c r="AD51" s="190" t="e">
        <f t="shared" si="51"/>
        <v>#DIV/0!</v>
      </c>
      <c r="AE51" s="169" t="e">
        <f t="shared" si="52"/>
        <v>#DIV/0!</v>
      </c>
      <c r="AF51" s="98" t="str">
        <f t="shared" si="37"/>
        <v>-0.0000182926829268293</v>
      </c>
      <c r="AG51" s="98" t="str">
        <f t="shared" si="38"/>
        <v>2.98485970374858E-06i</v>
      </c>
      <c r="AH51" s="98">
        <f t="shared" si="53"/>
        <v>2.9848597037485798E-6</v>
      </c>
      <c r="AI51" s="98">
        <f t="shared" si="54"/>
        <v>1.5707963267948966</v>
      </c>
      <c r="AJ51" s="98" t="str">
        <f t="shared" si="39"/>
        <v>1+0.000292604617561864i</v>
      </c>
      <c r="AK51" s="98">
        <f t="shared" si="55"/>
        <v>1.0000000428087301</v>
      </c>
      <c r="AL51" s="98">
        <f t="shared" si="56"/>
        <v>2.9260460921117621E-4</v>
      </c>
      <c r="AM51" s="98" t="str">
        <f t="shared" si="40"/>
        <v>1+0.0295530663737483i</v>
      </c>
      <c r="AN51" s="98">
        <f t="shared" si="57"/>
        <v>1.0004365965577684</v>
      </c>
      <c r="AO51" s="98">
        <f t="shared" si="58"/>
        <v>2.9544467157080194E-2</v>
      </c>
      <c r="AP51" s="168" t="str">
        <f t="shared" si="59"/>
        <v>-0.17932243270911+6.12854249770986i</v>
      </c>
      <c r="AQ51" s="98">
        <f t="shared" si="60"/>
        <v>15.750860704268954</v>
      </c>
      <c r="AR51" s="169">
        <f t="shared" si="61"/>
        <v>91.676008266889681</v>
      </c>
      <c r="AS51" s="168" t="e">
        <f t="shared" si="62"/>
        <v>#DIV/0!</v>
      </c>
      <c r="AT51" s="190" t="e">
        <f t="shared" si="63"/>
        <v>#DIV/0!</v>
      </c>
      <c r="AU51" s="169" t="e">
        <f t="shared" si="64"/>
        <v>#DIV/0!</v>
      </c>
      <c r="AV51" s="225"/>
      <c r="AX51" t="e">
        <f t="shared" si="65"/>
        <v>#DIV/0!</v>
      </c>
      <c r="AY51" t="e">
        <f t="shared" si="66"/>
        <v>#DIV/0!</v>
      </c>
    </row>
    <row r="52" spans="1:51" x14ac:dyDescent="0.25">
      <c r="N52" s="170">
        <v>34</v>
      </c>
      <c r="O52" s="199">
        <f t="shared" si="41"/>
        <v>21.877616239495538</v>
      </c>
      <c r="P52" s="189" t="str">
        <f t="shared" si="32"/>
        <v>290</v>
      </c>
      <c r="Q52" s="160" t="e">
        <f t="shared" si="33"/>
        <v>#DIV/0!</v>
      </c>
      <c r="R52" s="160" t="e">
        <f t="shared" si="42"/>
        <v>#DIV/0!</v>
      </c>
      <c r="S52" s="160" t="e">
        <f t="shared" si="43"/>
        <v>#DIV/0!</v>
      </c>
      <c r="T52" s="160" t="e">
        <f t="shared" si="34"/>
        <v>#DIV/0!</v>
      </c>
      <c r="U52" s="160" t="e">
        <f t="shared" si="44"/>
        <v>#DIV/0!</v>
      </c>
      <c r="V52" s="160" t="e">
        <f t="shared" si="45"/>
        <v>#DIV/0!</v>
      </c>
      <c r="W52" s="98" t="str">
        <f t="shared" si="35"/>
        <v>1-0.0010953932753934i</v>
      </c>
      <c r="X52" s="160">
        <f t="shared" si="46"/>
        <v>1.0000005999430339</v>
      </c>
      <c r="Y52" s="160">
        <f t="shared" si="47"/>
        <v>-1.0953928372778739E-3</v>
      </c>
      <c r="Z52" s="98" t="str">
        <f t="shared" si="36"/>
        <v>0.999999990110949+0.000130075243162336i</v>
      </c>
      <c r="AA52" s="160">
        <f t="shared" si="48"/>
        <v>0.99999999857073352</v>
      </c>
      <c r="AB52" s="160">
        <f t="shared" si="49"/>
        <v>1.3007524371505105E-4</v>
      </c>
      <c r="AC52" s="171" t="e">
        <f t="shared" si="50"/>
        <v>#DIV/0!</v>
      </c>
      <c r="AD52" s="190" t="e">
        <f t="shared" si="51"/>
        <v>#DIV/0!</v>
      </c>
      <c r="AE52" s="169" t="e">
        <f t="shared" si="52"/>
        <v>#DIV/0!</v>
      </c>
      <c r="AF52" s="98" t="str">
        <f t="shared" si="37"/>
        <v>-0.0000182926829268293</v>
      </c>
      <c r="AG52" s="98" t="str">
        <f t="shared" si="38"/>
        <v>3.05438601778713E-06i</v>
      </c>
      <c r="AH52" s="98">
        <f t="shared" si="53"/>
        <v>3.0543860177871299E-6</v>
      </c>
      <c r="AI52" s="98">
        <f t="shared" si="54"/>
        <v>1.5707963267948966</v>
      </c>
      <c r="AJ52" s="98" t="str">
        <f t="shared" si="39"/>
        <v>1+0.000299420254660046i</v>
      </c>
      <c r="AK52" s="98">
        <f t="shared" si="55"/>
        <v>1.0000000448262434</v>
      </c>
      <c r="AL52" s="98">
        <f t="shared" si="56"/>
        <v>2.994202457121228E-4</v>
      </c>
      <c r="AM52" s="98" t="str">
        <f t="shared" si="40"/>
        <v>1+0.0302414457206646i</v>
      </c>
      <c r="AN52" s="98">
        <f t="shared" si="57"/>
        <v>1.0004571680183394</v>
      </c>
      <c r="AO52" s="98">
        <f t="shared" si="58"/>
        <v>3.0232231721385346E-2</v>
      </c>
      <c r="AP52" s="168" t="str">
        <f t="shared" si="59"/>
        <v>-0.179322431985539+5.989042255544i</v>
      </c>
      <c r="AQ52" s="98">
        <f t="shared" si="60"/>
        <v>15.551039288367363</v>
      </c>
      <c r="AR52" s="169">
        <f t="shared" si="61"/>
        <v>91.715023766516836</v>
      </c>
      <c r="AS52" s="168" t="e">
        <f t="shared" si="62"/>
        <v>#DIV/0!</v>
      </c>
      <c r="AT52" s="190" t="e">
        <f t="shared" si="63"/>
        <v>#DIV/0!</v>
      </c>
      <c r="AU52" s="169" t="e">
        <f t="shared" si="64"/>
        <v>#DIV/0!</v>
      </c>
      <c r="AV52" s="225"/>
      <c r="AX52" t="e">
        <f t="shared" si="65"/>
        <v>#DIV/0!</v>
      </c>
      <c r="AY52" t="e">
        <f t="shared" si="66"/>
        <v>#DIV/0!</v>
      </c>
    </row>
    <row r="53" spans="1:51" ht="15.75" x14ac:dyDescent="0.25">
      <c r="A53" s="212" t="s">
        <v>261</v>
      </c>
      <c r="N53" s="170">
        <v>35</v>
      </c>
      <c r="O53" s="199">
        <f t="shared" si="41"/>
        <v>22.387211385683404</v>
      </c>
      <c r="P53" s="189" t="str">
        <f t="shared" si="32"/>
        <v>290</v>
      </c>
      <c r="Q53" s="160" t="e">
        <f t="shared" si="33"/>
        <v>#DIV/0!</v>
      </c>
      <c r="R53" s="160" t="e">
        <f t="shared" si="42"/>
        <v>#DIV/0!</v>
      </c>
      <c r="S53" s="160" t="e">
        <f t="shared" si="43"/>
        <v>#DIV/0!</v>
      </c>
      <c r="T53" s="160" t="e">
        <f t="shared" si="34"/>
        <v>#DIV/0!</v>
      </c>
      <c r="U53" s="160" t="e">
        <f t="shared" si="44"/>
        <v>#DIV/0!</v>
      </c>
      <c r="V53" s="160" t="e">
        <f t="shared" si="45"/>
        <v>#DIV/0!</v>
      </c>
      <c r="W53" s="98" t="str">
        <f t="shared" si="35"/>
        <v>1-0.00112090826250153i</v>
      </c>
      <c r="X53" s="160">
        <f t="shared" si="46"/>
        <v>1.0000006282174692</v>
      </c>
      <c r="Y53" s="160">
        <f t="shared" si="47"/>
        <v>-1.1209077930523018E-3</v>
      </c>
      <c r="Z53" s="98" t="str">
        <f t="shared" si="36"/>
        <v>0.999999989644892+0.000133105084797234i</v>
      </c>
      <c r="AA53" s="160">
        <f t="shared" si="48"/>
        <v>0.99999999850337384</v>
      </c>
      <c r="AB53" s="160">
        <f t="shared" si="49"/>
        <v>1.3310508538947889E-4</v>
      </c>
      <c r="AC53" s="171" t="e">
        <f t="shared" si="50"/>
        <v>#DIV/0!</v>
      </c>
      <c r="AD53" s="190" t="e">
        <f t="shared" si="51"/>
        <v>#DIV/0!</v>
      </c>
      <c r="AE53" s="169" t="e">
        <f t="shared" si="52"/>
        <v>#DIV/0!</v>
      </c>
      <c r="AF53" s="98" t="str">
        <f t="shared" si="37"/>
        <v>-0.0000182926829268293</v>
      </c>
      <c r="AG53" s="98" t="str">
        <f t="shared" si="38"/>
        <v>3.12553180772188E-06i</v>
      </c>
      <c r="AH53" s="98">
        <f t="shared" si="53"/>
        <v>3.1255318077218799E-6</v>
      </c>
      <c r="AI53" s="98">
        <f t="shared" si="54"/>
        <v>1.5707963267948966</v>
      </c>
      <c r="AJ53" s="98" t="str">
        <f t="shared" si="39"/>
        <v>1+0.000306394648340545i</v>
      </c>
      <c r="AK53" s="98">
        <f t="shared" si="55"/>
        <v>1.0000000469388393</v>
      </c>
      <c r="AL53" s="98">
        <f t="shared" si="56"/>
        <v>3.0639463875267259E-4</v>
      </c>
      <c r="AM53" s="98" t="str">
        <f t="shared" si="40"/>
        <v>1+0.030945859482395i</v>
      </c>
      <c r="AN53" s="98">
        <f t="shared" si="57"/>
        <v>1.0004787085286244</v>
      </c>
      <c r="AO53" s="98">
        <f t="shared" si="58"/>
        <v>3.0935986759409874E-2</v>
      </c>
      <c r="AP53" s="168" t="str">
        <f t="shared" si="59"/>
        <v>-0.179322431227869+5.85271748285639i</v>
      </c>
      <c r="AQ53" s="98">
        <f t="shared" si="60"/>
        <v>15.351226281003123</v>
      </c>
      <c r="AR53" s="169">
        <f t="shared" si="61"/>
        <v>91.754946356720822</v>
      </c>
      <c r="AS53" s="168" t="e">
        <f t="shared" si="62"/>
        <v>#DIV/0!</v>
      </c>
      <c r="AT53" s="190" t="e">
        <f t="shared" si="63"/>
        <v>#DIV/0!</v>
      </c>
      <c r="AU53" s="169" t="e">
        <f t="shared" si="64"/>
        <v>#DIV/0!</v>
      </c>
      <c r="AV53" s="225"/>
      <c r="AX53" t="e">
        <f t="shared" si="65"/>
        <v>#DIV/0!</v>
      </c>
      <c r="AY53" t="e">
        <f t="shared" si="66"/>
        <v>#DIV/0!</v>
      </c>
    </row>
    <row r="54" spans="1:51" x14ac:dyDescent="0.25">
      <c r="A54" s="98" t="s">
        <v>226</v>
      </c>
      <c r="N54" s="170">
        <v>36</v>
      </c>
      <c r="O54" s="199">
        <f t="shared" si="41"/>
        <v>22.908676527677727</v>
      </c>
      <c r="P54" s="189" t="str">
        <f t="shared" si="32"/>
        <v>290</v>
      </c>
      <c r="Q54" s="160" t="e">
        <f t="shared" si="33"/>
        <v>#DIV/0!</v>
      </c>
      <c r="R54" s="160" t="e">
        <f t="shared" si="42"/>
        <v>#DIV/0!</v>
      </c>
      <c r="S54" s="160" t="e">
        <f t="shared" si="43"/>
        <v>#DIV/0!</v>
      </c>
      <c r="T54" s="160" t="e">
        <f t="shared" si="34"/>
        <v>#DIV/0!</v>
      </c>
      <c r="U54" s="160" t="e">
        <f t="shared" si="44"/>
        <v>#DIV/0!</v>
      </c>
      <c r="V54" s="160" t="e">
        <f t="shared" si="45"/>
        <v>#DIV/0!</v>
      </c>
      <c r="W54" s="98" t="str">
        <f t="shared" si="35"/>
        <v>1-0.00114701757000741i</v>
      </c>
      <c r="X54" s="160">
        <f t="shared" si="46"/>
        <v>1.0000006578244367</v>
      </c>
      <c r="Y54" s="160">
        <f t="shared" si="47"/>
        <v>-1.147017066983517E-3</v>
      </c>
      <c r="Z54" s="98" t="str">
        <f t="shared" si="36"/>
        <v>0.999999989156871+0.000136205500509945i</v>
      </c>
      <c r="AA54" s="160">
        <f t="shared" si="48"/>
        <v>0.99999999843284026</v>
      </c>
      <c r="AB54" s="160">
        <f t="shared" si="49"/>
        <v>1.3620550114454679E-4</v>
      </c>
      <c r="AC54" s="171" t="e">
        <f t="shared" si="50"/>
        <v>#DIV/0!</v>
      </c>
      <c r="AD54" s="190" t="e">
        <f t="shared" si="51"/>
        <v>#DIV/0!</v>
      </c>
      <c r="AE54" s="169" t="e">
        <f t="shared" si="52"/>
        <v>#DIV/0!</v>
      </c>
      <c r="AF54" s="98" t="str">
        <f t="shared" si="37"/>
        <v>-0.0000182926829268293</v>
      </c>
      <c r="AG54" s="98" t="str">
        <f t="shared" si="38"/>
        <v>0.0000031983347959924i</v>
      </c>
      <c r="AH54" s="98">
        <f t="shared" si="53"/>
        <v>3.1983347959924E-6</v>
      </c>
      <c r="AI54" s="98">
        <f t="shared" si="54"/>
        <v>1.5707963267948966</v>
      </c>
      <c r="AJ54" s="98" t="str">
        <f t="shared" si="39"/>
        <v>1+0.000313531496519205i</v>
      </c>
      <c r="AK54" s="98">
        <f t="shared" si="55"/>
        <v>1.0000000491509984</v>
      </c>
      <c r="AL54" s="98">
        <f t="shared" si="56"/>
        <v>3.1353148624561466E-4</v>
      </c>
      <c r="AM54" s="98" t="str">
        <f t="shared" si="40"/>
        <v>1+0.0316666811484397i</v>
      </c>
      <c r="AN54" s="98">
        <f t="shared" si="57"/>
        <v>1.0005012637148225</v>
      </c>
      <c r="AO54" s="98">
        <f t="shared" si="58"/>
        <v>3.1656102621398362E-2</v>
      </c>
      <c r="AP54" s="168" t="str">
        <f t="shared" si="59"/>
        <v>-0.179322430434489+5.71949589844801i</v>
      </c>
      <c r="AQ54" s="98">
        <f t="shared" si="60"/>
        <v>15.151422077699559</v>
      </c>
      <c r="AR54" s="169">
        <f t="shared" si="61"/>
        <v>91.795797045132801</v>
      </c>
      <c r="AS54" s="168" t="e">
        <f t="shared" si="62"/>
        <v>#DIV/0!</v>
      </c>
      <c r="AT54" s="190" t="e">
        <f t="shared" si="63"/>
        <v>#DIV/0!</v>
      </c>
      <c r="AU54" s="169" t="e">
        <f t="shared" si="64"/>
        <v>#DIV/0!</v>
      </c>
      <c r="AV54" s="225"/>
      <c r="AX54" t="e">
        <f t="shared" si="65"/>
        <v>#DIV/0!</v>
      </c>
      <c r="AY54" t="e">
        <f t="shared" si="66"/>
        <v>#DIV/0!</v>
      </c>
    </row>
    <row r="55" spans="1:51" x14ac:dyDescent="0.25">
      <c r="A55" s="98" t="s">
        <v>224</v>
      </c>
      <c r="B55" s="187">
        <f>RFBT</f>
        <v>130000</v>
      </c>
      <c r="C55" s="206" t="s">
        <v>36</v>
      </c>
      <c r="E55" s="98" t="s">
        <v>227</v>
      </c>
      <c r="N55" s="170">
        <v>37</v>
      </c>
      <c r="O55" s="199">
        <f t="shared" si="41"/>
        <v>23.442288153199236</v>
      </c>
      <c r="P55" s="189" t="str">
        <f t="shared" si="32"/>
        <v>290</v>
      </c>
      <c r="Q55" s="160" t="e">
        <f t="shared" si="33"/>
        <v>#DIV/0!</v>
      </c>
      <c r="R55" s="160" t="e">
        <f t="shared" si="42"/>
        <v>#DIV/0!</v>
      </c>
      <c r="S55" s="160" t="e">
        <f t="shared" si="43"/>
        <v>#DIV/0!</v>
      </c>
      <c r="T55" s="160" t="e">
        <f t="shared" si="34"/>
        <v>#DIV/0!</v>
      </c>
      <c r="U55" s="160" t="e">
        <f t="shared" si="44"/>
        <v>#DIV/0!</v>
      </c>
      <c r="V55" s="160" t="e">
        <f t="shared" si="45"/>
        <v>#DIV/0!</v>
      </c>
      <c r="W55" s="98" t="str">
        <f t="shared" si="35"/>
        <v>1-0.00117373504141148i</v>
      </c>
      <c r="X55" s="160">
        <f t="shared" si="46"/>
        <v>1.0000006888267365</v>
      </c>
      <c r="Y55" s="160">
        <f t="shared" si="47"/>
        <v>-1.1737345024116878E-3</v>
      </c>
      <c r="Z55" s="98" t="str">
        <f t="shared" si="36"/>
        <v>0.99999998864585+0.00013937813418192i</v>
      </c>
      <c r="AA55" s="160">
        <f t="shared" si="48"/>
        <v>0.99999999835898223</v>
      </c>
      <c r="AB55" s="160">
        <f t="shared" si="49"/>
        <v>1.3937813486190808E-4</v>
      </c>
      <c r="AC55" s="171" t="e">
        <f t="shared" si="50"/>
        <v>#DIV/0!</v>
      </c>
      <c r="AD55" s="190" t="e">
        <f t="shared" si="51"/>
        <v>#DIV/0!</v>
      </c>
      <c r="AE55" s="169" t="e">
        <f t="shared" si="52"/>
        <v>#DIV/0!</v>
      </c>
      <c r="AF55" s="98" t="str">
        <f t="shared" si="37"/>
        <v>-0.0000182926829268293</v>
      </c>
      <c r="AG55" s="98" t="str">
        <f t="shared" si="38"/>
        <v>3.27283358370672E-06i</v>
      </c>
      <c r="AH55" s="98">
        <f t="shared" si="53"/>
        <v>3.27283358370672E-6</v>
      </c>
      <c r="AI55" s="98">
        <f t="shared" si="54"/>
        <v>1.5707963267948966</v>
      </c>
      <c r="AJ55" s="98" t="str">
        <f t="shared" si="39"/>
        <v>1+0.000320834583247401i</v>
      </c>
      <c r="AK55" s="98">
        <f t="shared" si="55"/>
        <v>1.0000000514674137</v>
      </c>
      <c r="AL55" s="98">
        <f t="shared" si="56"/>
        <v>3.2083457223905062E-4</v>
      </c>
      <c r="AM55" s="98" t="str">
        <f t="shared" si="40"/>
        <v>1+0.0324042929079874i</v>
      </c>
      <c r="AN55" s="98">
        <f t="shared" si="57"/>
        <v>1.000524881349218</v>
      </c>
      <c r="AO55" s="98">
        <f t="shared" si="58"/>
        <v>3.2392958133178586E-2</v>
      </c>
      <c r="AP55" s="168" t="str">
        <f t="shared" si="59"/>
        <v>-0.179322429603719+5.58930686647144i</v>
      </c>
      <c r="AQ55" s="98">
        <f t="shared" si="60"/>
        <v>14.951627092547493</v>
      </c>
      <c r="AR55" s="169">
        <f t="shared" si="61"/>
        <v>91.837597320063921</v>
      </c>
      <c r="AS55" s="168" t="e">
        <f t="shared" si="62"/>
        <v>#DIV/0!</v>
      </c>
      <c r="AT55" s="190" t="e">
        <f t="shared" si="63"/>
        <v>#DIV/0!</v>
      </c>
      <c r="AU55" s="169" t="e">
        <f t="shared" si="64"/>
        <v>#DIV/0!</v>
      </c>
      <c r="AV55" s="225"/>
      <c r="AX55" t="e">
        <f t="shared" si="65"/>
        <v>#DIV/0!</v>
      </c>
      <c r="AY55" t="e">
        <f t="shared" si="66"/>
        <v>#DIV/0!</v>
      </c>
    </row>
    <row r="56" spans="1:51" x14ac:dyDescent="0.25">
      <c r="A56" s="98" t="s">
        <v>225</v>
      </c>
      <c r="B56" s="187">
        <f>RFBB</f>
        <v>1200</v>
      </c>
      <c r="C56" s="206" t="s">
        <v>36</v>
      </c>
      <c r="E56" s="98" t="s">
        <v>228</v>
      </c>
      <c r="N56" s="170">
        <v>38</v>
      </c>
      <c r="O56" s="199">
        <f t="shared" si="41"/>
        <v>23.988329190194907</v>
      </c>
      <c r="P56" s="189" t="str">
        <f t="shared" si="32"/>
        <v>290</v>
      </c>
      <c r="Q56" s="160" t="e">
        <f t="shared" si="33"/>
        <v>#DIV/0!</v>
      </c>
      <c r="R56" s="160" t="e">
        <f t="shared" si="42"/>
        <v>#DIV/0!</v>
      </c>
      <c r="S56" s="160" t="e">
        <f t="shared" si="43"/>
        <v>#DIV/0!</v>
      </c>
      <c r="T56" s="160" t="e">
        <f t="shared" si="34"/>
        <v>#DIV/0!</v>
      </c>
      <c r="U56" s="160" t="e">
        <f t="shared" si="44"/>
        <v>#DIV/0!</v>
      </c>
      <c r="V56" s="160" t="e">
        <f t="shared" si="45"/>
        <v>#DIV/0!</v>
      </c>
      <c r="W56" s="98" t="str">
        <f t="shared" si="35"/>
        <v>1-0.00120107484267073i</v>
      </c>
      <c r="X56" s="160">
        <f t="shared" si="46"/>
        <v>1.0000007212901287</v>
      </c>
      <c r="Y56" s="160">
        <f t="shared" si="47"/>
        <v>-1.2010742651220696E-3</v>
      </c>
      <c r="Z56" s="98" t="str">
        <f t="shared" si="36"/>
        <v>0.999999988110745+0.000142624667985525i</v>
      </c>
      <c r="AA56" s="160">
        <f t="shared" si="48"/>
        <v>0.99999999828164299</v>
      </c>
      <c r="AB56" s="160">
        <f t="shared" si="49"/>
        <v>1.4262466871414539E-4</v>
      </c>
      <c r="AC56" s="171" t="e">
        <f t="shared" si="50"/>
        <v>#DIV/0!</v>
      </c>
      <c r="AD56" s="190" t="e">
        <f t="shared" si="51"/>
        <v>#DIV/0!</v>
      </c>
      <c r="AE56" s="169" t="e">
        <f t="shared" si="52"/>
        <v>#DIV/0!</v>
      </c>
      <c r="AF56" s="98" t="str">
        <f t="shared" si="37"/>
        <v>-0.0000182926829268293</v>
      </c>
      <c r="AG56" s="98" t="str">
        <f t="shared" si="38"/>
        <v>3.34906767110819E-06i</v>
      </c>
      <c r="AH56" s="98">
        <f t="shared" si="53"/>
        <v>3.3490676711081898E-6</v>
      </c>
      <c r="AI56" s="98">
        <f t="shared" si="54"/>
        <v>1.5707963267948966</v>
      </c>
      <c r="AJ56" s="98" t="str">
        <f t="shared" si="39"/>
        <v>1+0.00032830778071838i</v>
      </c>
      <c r="AK56" s="98">
        <f t="shared" si="55"/>
        <v>1.0000000538929978</v>
      </c>
      <c r="AL56" s="98">
        <f t="shared" si="56"/>
        <v>3.2830776892272005E-4</v>
      </c>
      <c r="AM56" s="98" t="str">
        <f t="shared" si="40"/>
        <v>1+0.0331590858525564i</v>
      </c>
      <c r="AN56" s="98">
        <f t="shared" si="57"/>
        <v>1.0005496114509151</v>
      </c>
      <c r="AO56" s="98">
        <f t="shared" si="58"/>
        <v>3.3146940782824957E-2</v>
      </c>
      <c r="AP56" s="168" t="str">
        <f t="shared" si="59"/>
        <v>-0.179322428733795+5.46208135897869i</v>
      </c>
      <c r="AQ56" s="98">
        <f t="shared" si="60"/>
        <v>14.751841759073105</v>
      </c>
      <c r="AR56" s="169">
        <f t="shared" si="61"/>
        <v>91.880369161085298</v>
      </c>
      <c r="AS56" s="168" t="e">
        <f t="shared" si="62"/>
        <v>#DIV/0!</v>
      </c>
      <c r="AT56" s="190" t="e">
        <f t="shared" si="63"/>
        <v>#DIV/0!</v>
      </c>
      <c r="AU56" s="169" t="e">
        <f t="shared" si="64"/>
        <v>#DIV/0!</v>
      </c>
      <c r="AV56" s="225"/>
      <c r="AX56" t="e">
        <f t="shared" si="65"/>
        <v>#DIV/0!</v>
      </c>
      <c r="AY56" t="e">
        <f t="shared" si="66"/>
        <v>#DIV/0!</v>
      </c>
    </row>
    <row r="57" spans="1:51" x14ac:dyDescent="0.25">
      <c r="A57" s="98" t="s">
        <v>214</v>
      </c>
      <c r="B57" s="187">
        <f>RCOMP</f>
        <v>10000</v>
      </c>
      <c r="C57" s="206" t="s">
        <v>36</v>
      </c>
      <c r="E57" s="98" t="s">
        <v>221</v>
      </c>
      <c r="N57" s="170">
        <v>39</v>
      </c>
      <c r="O57" s="199">
        <f t="shared" si="41"/>
        <v>24.547089156850316</v>
      </c>
      <c r="P57" s="189" t="str">
        <f t="shared" si="32"/>
        <v>290</v>
      </c>
      <c r="Q57" s="160" t="e">
        <f t="shared" si="33"/>
        <v>#DIV/0!</v>
      </c>
      <c r="R57" s="160" t="e">
        <f t="shared" si="42"/>
        <v>#DIV/0!</v>
      </c>
      <c r="S57" s="160" t="e">
        <f t="shared" si="43"/>
        <v>#DIV/0!</v>
      </c>
      <c r="T57" s="160" t="e">
        <f t="shared" si="34"/>
        <v>#DIV/0!</v>
      </c>
      <c r="U57" s="160" t="e">
        <f t="shared" si="44"/>
        <v>#DIV/0!</v>
      </c>
      <c r="V57" s="160" t="e">
        <f t="shared" si="45"/>
        <v>#DIV/0!</v>
      </c>
      <c r="W57" s="98" t="str">
        <f t="shared" si="35"/>
        <v>1-0.00122905146970966i</v>
      </c>
      <c r="X57" s="160">
        <f t="shared" si="46"/>
        <v>1.0000007552834724</v>
      </c>
      <c r="Y57" s="160">
        <f t="shared" si="47"/>
        <v>-1.2290508508551459E-3</v>
      </c>
      <c r="Z57" s="98" t="str">
        <f t="shared" si="36"/>
        <v>0.999999987550422+0.000145946823275956i</v>
      </c>
      <c r="AA57" s="160">
        <f t="shared" si="48"/>
        <v>0.99999999820065966</v>
      </c>
      <c r="AB57" s="160">
        <f t="shared" si="49"/>
        <v>1.4594682405668681E-4</v>
      </c>
      <c r="AC57" s="171" t="e">
        <f t="shared" si="50"/>
        <v>#DIV/0!</v>
      </c>
      <c r="AD57" s="190" t="e">
        <f t="shared" si="51"/>
        <v>#DIV/0!</v>
      </c>
      <c r="AE57" s="169" t="e">
        <f t="shared" si="52"/>
        <v>#DIV/0!</v>
      </c>
      <c r="AF57" s="98" t="str">
        <f t="shared" si="37"/>
        <v>-0.0000182926829268293</v>
      </c>
      <c r="AG57" s="98" t="str">
        <f t="shared" si="38"/>
        <v>3.42707747851904E-06i</v>
      </c>
      <c r="AH57" s="98">
        <f t="shared" si="53"/>
        <v>3.4270774785190402E-6</v>
      </c>
      <c r="AI57" s="98">
        <f t="shared" si="54"/>
        <v>1.5707963267948966</v>
      </c>
      <c r="AJ57" s="98" t="str">
        <f t="shared" si="39"/>
        <v>1+0.000335955051320364i</v>
      </c>
      <c r="AK57" s="98">
        <f t="shared" si="55"/>
        <v>1.0000000564328966</v>
      </c>
      <c r="AL57" s="98">
        <f t="shared" si="56"/>
        <v>3.3595503868108669E-4</v>
      </c>
      <c r="AM57" s="98" t="str">
        <f t="shared" si="40"/>
        <v>1+0.0339314601833568i</v>
      </c>
      <c r="AN57" s="98">
        <f t="shared" si="57"/>
        <v>1.0005755063912842</v>
      </c>
      <c r="AO57" s="98">
        <f t="shared" si="58"/>
        <v>3.3918446910906445E-2</v>
      </c>
      <c r="AP57" s="168" t="str">
        <f t="shared" si="59"/>
        <v>-0.179322427822873+5.33775191932161i</v>
      </c>
      <c r="AQ57" s="98">
        <f t="shared" si="60"/>
        <v>14.552066531146099</v>
      </c>
      <c r="AR57" s="169">
        <f t="shared" si="61"/>
        <v>91.9241350498109</v>
      </c>
      <c r="AS57" s="168" t="e">
        <f t="shared" si="62"/>
        <v>#DIV/0!</v>
      </c>
      <c r="AT57" s="190" t="e">
        <f t="shared" si="63"/>
        <v>#DIV/0!</v>
      </c>
      <c r="AU57" s="169" t="e">
        <f t="shared" si="64"/>
        <v>#DIV/0!</v>
      </c>
      <c r="AV57" s="225"/>
      <c r="AX57" t="e">
        <f t="shared" si="65"/>
        <v>#DIV/0!</v>
      </c>
      <c r="AY57" t="e">
        <f t="shared" si="66"/>
        <v>#DIV/0!</v>
      </c>
    </row>
    <row r="58" spans="1:51" x14ac:dyDescent="0.25">
      <c r="A58" s="98" t="s">
        <v>219</v>
      </c>
      <c r="B58" s="187">
        <f>CCOMP</f>
        <v>2.2000000000000002E-8</v>
      </c>
      <c r="C58" s="206" t="s">
        <v>193</v>
      </c>
      <c r="E58" s="98" t="s">
        <v>222</v>
      </c>
      <c r="N58" s="170">
        <v>40</v>
      </c>
      <c r="O58" s="199">
        <f t="shared" si="41"/>
        <v>25.118864315095799</v>
      </c>
      <c r="P58" s="189" t="str">
        <f t="shared" si="32"/>
        <v>290</v>
      </c>
      <c r="Q58" s="160" t="e">
        <f t="shared" si="33"/>
        <v>#DIV/0!</v>
      </c>
      <c r="R58" s="160" t="e">
        <f t="shared" si="42"/>
        <v>#DIV/0!</v>
      </c>
      <c r="S58" s="160" t="e">
        <f t="shared" si="43"/>
        <v>#DIV/0!</v>
      </c>
      <c r="T58" s="160" t="e">
        <f t="shared" si="34"/>
        <v>#DIV/0!</v>
      </c>
      <c r="U58" s="160" t="e">
        <f t="shared" si="44"/>
        <v>#DIV/0!</v>
      </c>
      <c r="V58" s="160" t="e">
        <f t="shared" si="45"/>
        <v>#DIV/0!</v>
      </c>
      <c r="W58" s="98" t="str">
        <f t="shared" si="35"/>
        <v>1-0.00125767975610626i</v>
      </c>
      <c r="X58" s="160">
        <f t="shared" si="46"/>
        <v>1.0000007908788717</v>
      </c>
      <c r="Y58" s="160">
        <f t="shared" si="47"/>
        <v>-1.2576790929917294E-3</v>
      </c>
      <c r="Z58" s="98" t="str">
        <f t="shared" si="36"/>
        <v>0.999999986963691+0.000149346361503924i</v>
      </c>
      <c r="AA58" s="160">
        <f t="shared" si="48"/>
        <v>0.99999999811585893</v>
      </c>
      <c r="AB58" s="160">
        <f t="shared" si="49"/>
        <v>1.4934636234049218E-4</v>
      </c>
      <c r="AC58" s="171" t="e">
        <f t="shared" si="50"/>
        <v>#DIV/0!</v>
      </c>
      <c r="AD58" s="190" t="e">
        <f t="shared" si="51"/>
        <v>#DIV/0!</v>
      </c>
      <c r="AE58" s="169" t="e">
        <f t="shared" si="52"/>
        <v>#DIV/0!</v>
      </c>
      <c r="AF58" s="98" t="str">
        <f t="shared" si="37"/>
        <v>-0.0000182926829268293</v>
      </c>
      <c r="AG58" s="98" t="str">
        <f t="shared" si="38"/>
        <v>3.50690436777173E-06i</v>
      </c>
      <c r="AH58" s="98">
        <f t="shared" si="53"/>
        <v>3.5069043677717301E-6</v>
      </c>
      <c r="AI58" s="98">
        <f t="shared" si="54"/>
        <v>1.5707963267948966</v>
      </c>
      <c r="AJ58" s="98" t="str">
        <f t="shared" si="39"/>
        <v>1+0.000343780449737451i</v>
      </c>
      <c r="AK58" s="98">
        <f t="shared" si="55"/>
        <v>1.0000000590924971</v>
      </c>
      <c r="AL58" s="98">
        <f t="shared" si="56"/>
        <v>3.4378043619422144E-4</v>
      </c>
      <c r="AM58" s="98" t="str">
        <f t="shared" si="40"/>
        <v>1+0.0347218254234825i</v>
      </c>
      <c r="AN58" s="98">
        <f t="shared" si="57"/>
        <v>1.0006026210043319</v>
      </c>
      <c r="AO58" s="98">
        <f t="shared" si="58"/>
        <v>3.4707881904347204E-2</v>
      </c>
      <c r="AP58" s="168" t="str">
        <f t="shared" si="59"/>
        <v>-0.179322426869021+5.21625262638564i</v>
      </c>
      <c r="AQ58" s="98">
        <f t="shared" si="60"/>
        <v>14.352301883930243</v>
      </c>
      <c r="AR58" s="169">
        <f t="shared" si="61"/>
        <v>91.96891798088447</v>
      </c>
      <c r="AS58" s="168" t="e">
        <f t="shared" si="62"/>
        <v>#DIV/0!</v>
      </c>
      <c r="AT58" s="190" t="e">
        <f t="shared" si="63"/>
        <v>#DIV/0!</v>
      </c>
      <c r="AU58" s="169" t="e">
        <f t="shared" si="64"/>
        <v>#DIV/0!</v>
      </c>
      <c r="AV58" s="225"/>
      <c r="AX58" t="e">
        <f t="shared" si="65"/>
        <v>#DIV/0!</v>
      </c>
      <c r="AY58" t="e">
        <f t="shared" si="66"/>
        <v>#DIV/0!</v>
      </c>
    </row>
    <row r="59" spans="1:51" x14ac:dyDescent="0.25">
      <c r="A59" s="98" t="s">
        <v>220</v>
      </c>
      <c r="B59" s="187">
        <f>CHF</f>
        <v>2.1999999999999999E-10</v>
      </c>
      <c r="C59" s="206" t="s">
        <v>193</v>
      </c>
      <c r="E59" s="98" t="s">
        <v>223</v>
      </c>
      <c r="N59" s="170">
        <v>41</v>
      </c>
      <c r="O59" s="199">
        <f t="shared" si="41"/>
        <v>25.703957827688647</v>
      </c>
      <c r="P59" s="189" t="str">
        <f t="shared" si="32"/>
        <v>290</v>
      </c>
      <c r="Q59" s="160" t="e">
        <f t="shared" si="33"/>
        <v>#DIV/0!</v>
      </c>
      <c r="R59" s="160" t="e">
        <f t="shared" si="42"/>
        <v>#DIV/0!</v>
      </c>
      <c r="S59" s="160" t="e">
        <f t="shared" si="43"/>
        <v>#DIV/0!</v>
      </c>
      <c r="T59" s="160" t="e">
        <f t="shared" si="34"/>
        <v>#DIV/0!</v>
      </c>
      <c r="U59" s="160" t="e">
        <f t="shared" si="44"/>
        <v>#DIV/0!</v>
      </c>
      <c r="V59" s="160" t="e">
        <f t="shared" si="45"/>
        <v>#DIV/0!</v>
      </c>
      <c r="W59" s="98" t="str">
        <f t="shared" si="35"/>
        <v>1-0.0012869748809569i</v>
      </c>
      <c r="X59" s="160">
        <f t="shared" si="46"/>
        <v>1.0000008281518291</v>
      </c>
      <c r="Y59" s="160">
        <f t="shared" si="47"/>
        <v>-1.2869741704169108E-3</v>
      </c>
      <c r="Z59" s="98" t="str">
        <f t="shared" si="36"/>
        <v>0.999999986349309+0.000152825085149594i</v>
      </c>
      <c r="AA59" s="160">
        <f t="shared" si="48"/>
        <v>0.99999999802706252</v>
      </c>
      <c r="AB59" s="160">
        <f t="shared" si="49"/>
        <v>1.5282508604599291E-4</v>
      </c>
      <c r="AC59" s="171" t="e">
        <f t="shared" si="50"/>
        <v>#DIV/0!</v>
      </c>
      <c r="AD59" s="190" t="e">
        <f t="shared" si="51"/>
        <v>#DIV/0!</v>
      </c>
      <c r="AE59" s="169" t="e">
        <f t="shared" si="52"/>
        <v>#DIV/0!</v>
      </c>
      <c r="AF59" s="98" t="str">
        <f t="shared" si="37"/>
        <v>-0.0000182926829268293</v>
      </c>
      <c r="AG59" s="98" t="str">
        <f t="shared" si="38"/>
        <v>3.58859066413958E-06i</v>
      </c>
      <c r="AH59" s="98">
        <f t="shared" si="53"/>
        <v>3.5885906641395799E-6</v>
      </c>
      <c r="AI59" s="98">
        <f t="shared" si="54"/>
        <v>1.5707963267948966</v>
      </c>
      <c r="AJ59" s="98" t="str">
        <f t="shared" si="39"/>
        <v>1+0.000351788125099459i</v>
      </c>
      <c r="AK59" s="98">
        <f t="shared" si="55"/>
        <v>1.0000000618774405</v>
      </c>
      <c r="AL59" s="98">
        <f t="shared" si="56"/>
        <v>3.5178811058762712E-4</v>
      </c>
      <c r="AM59" s="98" t="str">
        <f t="shared" si="40"/>
        <v>1+0.0355306006350453i</v>
      </c>
      <c r="AN59" s="98">
        <f t="shared" si="57"/>
        <v>1.0006310127022284</v>
      </c>
      <c r="AO59" s="98">
        <f t="shared" si="58"/>
        <v>3.5515660393925896E-2</v>
      </c>
      <c r="AP59" s="168" t="str">
        <f t="shared" si="59"/>
        <v>-0.179322425870216+5.09751905963741i</v>
      </c>
      <c r="AQ59" s="98">
        <f t="shared" si="60"/>
        <v>14.152548314877425</v>
      </c>
      <c r="AR59" s="169">
        <f t="shared" si="61"/>
        <v>92.014741473172336</v>
      </c>
      <c r="AS59" s="168" t="e">
        <f t="shared" si="62"/>
        <v>#DIV/0!</v>
      </c>
      <c r="AT59" s="190" t="e">
        <f t="shared" si="63"/>
        <v>#DIV/0!</v>
      </c>
      <c r="AU59" s="169" t="e">
        <f t="shared" si="64"/>
        <v>#DIV/0!</v>
      </c>
      <c r="AV59" s="225"/>
      <c r="AX59" t="e">
        <f t="shared" si="65"/>
        <v>#DIV/0!</v>
      </c>
      <c r="AY59" t="e">
        <f t="shared" si="66"/>
        <v>#DIV/0!</v>
      </c>
    </row>
    <row r="60" spans="1:51" x14ac:dyDescent="0.25">
      <c r="N60" s="170">
        <v>42</v>
      </c>
      <c r="O60" s="199">
        <f t="shared" si="41"/>
        <v>26.302679918953825</v>
      </c>
      <c r="P60" s="189" t="str">
        <f t="shared" si="32"/>
        <v>290</v>
      </c>
      <c r="Q60" s="160" t="e">
        <f t="shared" si="33"/>
        <v>#DIV/0!</v>
      </c>
      <c r="R60" s="160" t="e">
        <f t="shared" si="42"/>
        <v>#DIV/0!</v>
      </c>
      <c r="S60" s="160" t="e">
        <f t="shared" si="43"/>
        <v>#DIV/0!</v>
      </c>
      <c r="T60" s="160" t="e">
        <f t="shared" si="34"/>
        <v>#DIV/0!</v>
      </c>
      <c r="U60" s="160" t="e">
        <f t="shared" si="44"/>
        <v>#DIV/0!</v>
      </c>
      <c r="V60" s="160" t="e">
        <f t="shared" si="45"/>
        <v>#DIV/0!</v>
      </c>
      <c r="W60" s="98" t="str">
        <f t="shared" si="35"/>
        <v>1-0.00131695237692455i</v>
      </c>
      <c r="X60" s="160">
        <f t="shared" si="46"/>
        <v>1.0000008671814056</v>
      </c>
      <c r="Y60" s="160">
        <f t="shared" si="47"/>
        <v>-1.3169516155672701E-3</v>
      </c>
      <c r="Z60" s="98" t="str">
        <f t="shared" si="36"/>
        <v>0.999999985705972+0.000156384838678289i</v>
      </c>
      <c r="AA60" s="160">
        <f t="shared" si="48"/>
        <v>0.99999999793408101</v>
      </c>
      <c r="AB60" s="160">
        <f t="shared" si="49"/>
        <v>1.563848396387977E-4</v>
      </c>
      <c r="AC60" s="171" t="e">
        <f t="shared" si="50"/>
        <v>#DIV/0!</v>
      </c>
      <c r="AD60" s="190" t="e">
        <f t="shared" si="51"/>
        <v>#DIV/0!</v>
      </c>
      <c r="AE60" s="169" t="e">
        <f t="shared" si="52"/>
        <v>#DIV/0!</v>
      </c>
      <c r="AF60" s="98" t="str">
        <f t="shared" si="37"/>
        <v>-0.0000182926829268293</v>
      </c>
      <c r="AG60" s="98" t="str">
        <f t="shared" si="38"/>
        <v>3.67217967877817E-06i</v>
      </c>
      <c r="AH60" s="98">
        <f t="shared" si="53"/>
        <v>3.67217967877817E-6</v>
      </c>
      <c r="AI60" s="98">
        <f t="shared" si="54"/>
        <v>1.5707963267948966</v>
      </c>
      <c r="AJ60" s="98" t="str">
        <f t="shared" si="39"/>
        <v>1+0.000359982323181861i</v>
      </c>
      <c r="AK60" s="98">
        <f t="shared" si="55"/>
        <v>1.0000000647936345</v>
      </c>
      <c r="AL60" s="98">
        <f t="shared" si="56"/>
        <v>3.59982307632153E-4</v>
      </c>
      <c r="AM60" s="98" t="str">
        <f t="shared" si="40"/>
        <v>1+0.0363582146413679i</v>
      </c>
      <c r="AN60" s="98">
        <f t="shared" si="57"/>
        <v>1.0006607415962254</v>
      </c>
      <c r="AO60" s="98">
        <f t="shared" si="58"/>
        <v>3.6342206455438258E-2</v>
      </c>
      <c r="AP60" s="168" t="str">
        <f t="shared" si="59"/>
        <v>-0.179322424824337+4.98148826496822i</v>
      </c>
      <c r="AQ60" s="98">
        <f t="shared" si="60"/>
        <v>13.952806344768069</v>
      </c>
      <c r="AR60" s="169">
        <f t="shared" si="61"/>
        <v>92.061629581163004</v>
      </c>
      <c r="AS60" s="168" t="e">
        <f t="shared" si="62"/>
        <v>#DIV/0!</v>
      </c>
      <c r="AT60" s="190" t="e">
        <f t="shared" si="63"/>
        <v>#DIV/0!</v>
      </c>
      <c r="AU60" s="169" t="e">
        <f t="shared" si="64"/>
        <v>#DIV/0!</v>
      </c>
      <c r="AV60" s="225"/>
      <c r="AX60" t="e">
        <f t="shared" si="65"/>
        <v>#DIV/0!</v>
      </c>
      <c r="AY60" t="e">
        <f t="shared" si="66"/>
        <v>#DIV/0!</v>
      </c>
    </row>
    <row r="61" spans="1:51" x14ac:dyDescent="0.25">
      <c r="A61" s="98" t="s">
        <v>264</v>
      </c>
      <c r="B61" s="211">
        <f>-(RFBB*gm_ea)/(RFBB+RFBT)</f>
        <v>-1.8292682926829268E-5</v>
      </c>
      <c r="C61" s="98" t="s">
        <v>180</v>
      </c>
      <c r="N61" s="170">
        <v>43</v>
      </c>
      <c r="O61" s="199">
        <f t="shared" si="41"/>
        <v>26.915348039269158</v>
      </c>
      <c r="P61" s="189" t="str">
        <f t="shared" si="32"/>
        <v>290</v>
      </c>
      <c r="Q61" s="160" t="e">
        <f t="shared" si="33"/>
        <v>#DIV/0!</v>
      </c>
      <c r="R61" s="160" t="e">
        <f t="shared" si="42"/>
        <v>#DIV/0!</v>
      </c>
      <c r="S61" s="160" t="e">
        <f t="shared" si="43"/>
        <v>#DIV/0!</v>
      </c>
      <c r="T61" s="160" t="e">
        <f t="shared" si="34"/>
        <v>#DIV/0!</v>
      </c>
      <c r="U61" s="160" t="e">
        <f t="shared" si="44"/>
        <v>#DIV/0!</v>
      </c>
      <c r="V61" s="160" t="e">
        <f t="shared" si="45"/>
        <v>#DIV/0!</v>
      </c>
      <c r="W61" s="98" t="str">
        <f t="shared" si="35"/>
        <v>1-0.00134762813847438i</v>
      </c>
      <c r="X61" s="160">
        <f t="shared" si="46"/>
        <v>1.0000009080503875</v>
      </c>
      <c r="Y61" s="160">
        <f t="shared" si="47"/>
        <v>-1.3476273226653963E-3</v>
      </c>
      <c r="Z61" s="98" t="str">
        <f t="shared" si="36"/>
        <v>0.999999985032315+0.000160027509518449i</v>
      </c>
      <c r="AA61" s="160">
        <f t="shared" si="48"/>
        <v>0.999999997836717</v>
      </c>
      <c r="AB61" s="160">
        <f t="shared" si="49"/>
        <v>1.6002751054765266E-4</v>
      </c>
      <c r="AC61" s="171" t="e">
        <f t="shared" si="50"/>
        <v>#DIV/0!</v>
      </c>
      <c r="AD61" s="190" t="e">
        <f t="shared" si="51"/>
        <v>#DIV/0!</v>
      </c>
      <c r="AE61" s="169" t="e">
        <f t="shared" si="52"/>
        <v>#DIV/0!</v>
      </c>
      <c r="AF61" s="98" t="str">
        <f t="shared" si="37"/>
        <v>-0.0000182926829268293</v>
      </c>
      <c r="AG61" s="98" t="str">
        <f t="shared" si="38"/>
        <v>3.75771573168949E-06i</v>
      </c>
      <c r="AH61" s="98">
        <f t="shared" si="53"/>
        <v>3.7577157316894899E-6</v>
      </c>
      <c r="AI61" s="98">
        <f t="shared" si="54"/>
        <v>1.5707963267948966</v>
      </c>
      <c r="AJ61" s="98" t="str">
        <f t="shared" si="39"/>
        <v>1+0.000368367388656945i</v>
      </c>
      <c r="AK61" s="98">
        <f t="shared" si="55"/>
        <v>1.0000000678472643</v>
      </c>
      <c r="AL61" s="98">
        <f t="shared" si="56"/>
        <v>3.6836737199513276E-4</v>
      </c>
      <c r="AM61" s="98" t="str">
        <f t="shared" si="40"/>
        <v>1+0.0372051062543514i</v>
      </c>
      <c r="AN61" s="98">
        <f t="shared" si="57"/>
        <v>1.0006918706232191</v>
      </c>
      <c r="AO61" s="98">
        <f t="shared" si="58"/>
        <v>3.7187953814539806E-2</v>
      </c>
      <c r="AP61" s="168" t="str">
        <f t="shared" si="59"/>
        <v>-0.17932242372917+4.86809872131488i</v>
      </c>
      <c r="AQ61" s="98">
        <f t="shared" si="60"/>
        <v>13.753076518799347</v>
      </c>
      <c r="AR61" s="169">
        <f t="shared" si="61"/>
        <v>92.109606906574911</v>
      </c>
      <c r="AS61" s="168" t="e">
        <f t="shared" si="62"/>
        <v>#DIV/0!</v>
      </c>
      <c r="AT61" s="190" t="e">
        <f t="shared" si="63"/>
        <v>#DIV/0!</v>
      </c>
      <c r="AU61" s="169" t="e">
        <f t="shared" si="64"/>
        <v>#DIV/0!</v>
      </c>
      <c r="AV61" s="225"/>
      <c r="AX61" t="e">
        <f t="shared" si="65"/>
        <v>#DIV/0!</v>
      </c>
      <c r="AY61" t="e">
        <f t="shared" si="66"/>
        <v>#DIV/0!</v>
      </c>
    </row>
    <row r="62" spans="1:51" x14ac:dyDescent="0.25">
      <c r="A62" s="98" t="s">
        <v>263</v>
      </c>
      <c r="B62" s="211">
        <f>1/(RCOMP*CCOMP)</f>
        <v>4545.454545454545</v>
      </c>
      <c r="E62" s="98" t="s">
        <v>278</v>
      </c>
      <c r="N62" s="170">
        <v>44</v>
      </c>
      <c r="O62" s="199">
        <f t="shared" si="41"/>
        <v>27.542287033381665</v>
      </c>
      <c r="P62" s="189" t="str">
        <f t="shared" si="32"/>
        <v>290</v>
      </c>
      <c r="Q62" s="160" t="e">
        <f t="shared" si="33"/>
        <v>#DIV/0!</v>
      </c>
      <c r="R62" s="160" t="e">
        <f t="shared" si="42"/>
        <v>#DIV/0!</v>
      </c>
      <c r="S62" s="160" t="e">
        <f t="shared" si="43"/>
        <v>#DIV/0!</v>
      </c>
      <c r="T62" s="160" t="e">
        <f t="shared" si="34"/>
        <v>#DIV/0!</v>
      </c>
      <c r="U62" s="160" t="e">
        <f t="shared" si="44"/>
        <v>#DIV/0!</v>
      </c>
      <c r="V62" s="160" t="e">
        <f t="shared" si="45"/>
        <v>#DIV/0!</v>
      </c>
      <c r="W62" s="98" t="str">
        <f t="shared" si="35"/>
        <v>1-0.00137901843030119i</v>
      </c>
      <c r="X62" s="160">
        <f t="shared" si="46"/>
        <v>1.0000009508454635</v>
      </c>
      <c r="Y62" s="160">
        <f t="shared" si="47"/>
        <v>-1.3790175561461595E-3</v>
      </c>
      <c r="Z62" s="98" t="str">
        <f t="shared" si="36"/>
        <v>0.99999998432691+0.000163755029062371i</v>
      </c>
      <c r="AA62" s="160">
        <f t="shared" si="48"/>
        <v>0.99999999773476478</v>
      </c>
      <c r="AB62" s="160">
        <f t="shared" si="49"/>
        <v>1.6375503016518252E-4</v>
      </c>
      <c r="AC62" s="171" t="e">
        <f t="shared" si="50"/>
        <v>#DIV/0!</v>
      </c>
      <c r="AD62" s="190" t="e">
        <f t="shared" si="51"/>
        <v>#DIV/0!</v>
      </c>
      <c r="AE62" s="169" t="e">
        <f t="shared" si="52"/>
        <v>#DIV/0!</v>
      </c>
      <c r="AF62" s="98" t="str">
        <f t="shared" si="37"/>
        <v>-0.0000182926829268293</v>
      </c>
      <c r="AG62" s="98" t="str">
        <f t="shared" si="38"/>
        <v>0.000003845244175221i</v>
      </c>
      <c r="AH62" s="98">
        <f t="shared" si="53"/>
        <v>3.8452441752210001E-6</v>
      </c>
      <c r="AI62" s="98">
        <f t="shared" si="54"/>
        <v>1.5707963267948966</v>
      </c>
      <c r="AJ62" s="98" t="str">
        <f t="shared" si="39"/>
        <v>1+0.000376947767397413i</v>
      </c>
      <c r="AK62" s="98">
        <f t="shared" si="55"/>
        <v>1.0000000710448071</v>
      </c>
      <c r="AL62" s="98">
        <f t="shared" si="56"/>
        <v>3.769477495439596E-4</v>
      </c>
      <c r="AM62" s="98" t="str">
        <f t="shared" si="40"/>
        <v>1+0.0380717245071387i</v>
      </c>
      <c r="AN62" s="98">
        <f t="shared" si="57"/>
        <v>1.0007244656782142</v>
      </c>
      <c r="AO62" s="98">
        <f t="shared" si="58"/>
        <v>3.8053346055284314E-2</v>
      </c>
      <c r="AP62" s="168" t="str">
        <f t="shared" si="59"/>
        <v>-0.179322422582388+4.75729030804042i</v>
      </c>
      <c r="AQ62" s="98">
        <f t="shared" si="60"/>
        <v>13.553359407723686</v>
      </c>
      <c r="AR62" s="169">
        <f t="shared" si="61"/>
        <v>92.158698610172777</v>
      </c>
      <c r="AS62" s="168" t="e">
        <f t="shared" si="62"/>
        <v>#DIV/0!</v>
      </c>
      <c r="AT62" s="190" t="e">
        <f t="shared" si="63"/>
        <v>#DIV/0!</v>
      </c>
      <c r="AU62" s="169" t="e">
        <f t="shared" si="64"/>
        <v>#DIV/0!</v>
      </c>
      <c r="AV62" s="225"/>
      <c r="AX62" t="e">
        <f t="shared" si="65"/>
        <v>#DIV/0!</v>
      </c>
      <c r="AY62" t="e">
        <f t="shared" si="66"/>
        <v>#DIV/0!</v>
      </c>
    </row>
    <row r="63" spans="1:51" x14ac:dyDescent="0.25">
      <c r="A63" s="98" t="s">
        <v>268</v>
      </c>
      <c r="B63" s="211">
        <f>(CCOMP+CHF)</f>
        <v>2.2220000000000003E-8</v>
      </c>
      <c r="E63" s="98" t="s">
        <v>279</v>
      </c>
      <c r="N63" s="170">
        <v>45</v>
      </c>
      <c r="O63" s="199">
        <f t="shared" si="41"/>
        <v>28.183829312644548</v>
      </c>
      <c r="P63" s="189" t="str">
        <f t="shared" si="32"/>
        <v>290</v>
      </c>
      <c r="Q63" s="160" t="e">
        <f t="shared" si="33"/>
        <v>#DIV/0!</v>
      </c>
      <c r="R63" s="160" t="e">
        <f t="shared" si="42"/>
        <v>#DIV/0!</v>
      </c>
      <c r="S63" s="160" t="e">
        <f t="shared" si="43"/>
        <v>#DIV/0!</v>
      </c>
      <c r="T63" s="160" t="e">
        <f t="shared" si="34"/>
        <v>#DIV/0!</v>
      </c>
      <c r="U63" s="160" t="e">
        <f t="shared" si="44"/>
        <v>#DIV/0!</v>
      </c>
      <c r="V63" s="160" t="e">
        <f t="shared" si="45"/>
        <v>#DIV/0!</v>
      </c>
      <c r="W63" s="98" t="str">
        <f t="shared" si="35"/>
        <v>1-0.00141113989595322i</v>
      </c>
      <c r="X63" s="160">
        <f t="shared" si="46"/>
        <v>1.0000009956574074</v>
      </c>
      <c r="Y63" s="160">
        <f t="shared" si="47"/>
        <v>-1.4111389592792794E-3</v>
      </c>
      <c r="Z63" s="98" t="str">
        <f t="shared" si="36"/>
        <v>0.99999998358826+0.000167569373690256i</v>
      </c>
      <c r="AA63" s="160">
        <f t="shared" si="48"/>
        <v>0.99999999762800762</v>
      </c>
      <c r="AB63" s="160">
        <f t="shared" si="49"/>
        <v>1.6756937487193984E-4</v>
      </c>
      <c r="AC63" s="171" t="e">
        <f t="shared" si="50"/>
        <v>#DIV/0!</v>
      </c>
      <c r="AD63" s="190" t="e">
        <f t="shared" si="51"/>
        <v>#DIV/0!</v>
      </c>
      <c r="AE63" s="169" t="e">
        <f t="shared" si="52"/>
        <v>#DIV/0!</v>
      </c>
      <c r="AF63" s="98" t="str">
        <f t="shared" si="37"/>
        <v>-0.0000182926829268293</v>
      </c>
      <c r="AG63" s="98" t="str">
        <f t="shared" si="38"/>
        <v>3.93481141811204E-06i</v>
      </c>
      <c r="AH63" s="98">
        <f t="shared" si="53"/>
        <v>3.9348114181120401E-6</v>
      </c>
      <c r="AI63" s="98">
        <f t="shared" si="54"/>
        <v>1.5707963267948966</v>
      </c>
      <c r="AJ63" s="98" t="str">
        <f t="shared" si="39"/>
        <v>1+0.000385728008833649i</v>
      </c>
      <c r="AK63" s="98">
        <f t="shared" si="55"/>
        <v>1.0000000743930457</v>
      </c>
      <c r="AL63" s="98">
        <f t="shared" si="56"/>
        <v>3.857279897033291E-4</v>
      </c>
      <c r="AM63" s="98" t="str">
        <f t="shared" si="40"/>
        <v>1+0.0389585288921985i</v>
      </c>
      <c r="AN63" s="98">
        <f t="shared" si="57"/>
        <v>1.0007585957529639</v>
      </c>
      <c r="AO63" s="98">
        <f t="shared" si="58"/>
        <v>3.8938836832369622E-2</v>
      </c>
      <c r="AP63" s="168" t="str">
        <f t="shared" si="59"/>
        <v>-0.179322421381559+4.64900427305743i</v>
      </c>
      <c r="AQ63" s="98">
        <f t="shared" si="60"/>
        <v>13.353655609039947</v>
      </c>
      <c r="AR63" s="169">
        <f t="shared" si="61"/>
        <v>92.208930423793277</v>
      </c>
      <c r="AS63" s="168" t="e">
        <f t="shared" si="62"/>
        <v>#DIV/0!</v>
      </c>
      <c r="AT63" s="190" t="e">
        <f t="shared" si="63"/>
        <v>#DIV/0!</v>
      </c>
      <c r="AU63" s="169" t="e">
        <f t="shared" si="64"/>
        <v>#DIV/0!</v>
      </c>
      <c r="AV63" s="225"/>
      <c r="AX63" t="e">
        <f t="shared" si="65"/>
        <v>#DIV/0!</v>
      </c>
      <c r="AY63" t="e">
        <f t="shared" si="66"/>
        <v>#DIV/0!</v>
      </c>
    </row>
    <row r="64" spans="1:51" x14ac:dyDescent="0.25">
      <c r="A64" s="98" t="s">
        <v>269</v>
      </c>
      <c r="B64" s="211">
        <f>(CCOMP+CHF)/(RCOMP*CHF*CCOMP)</f>
        <v>459090.90909090923</v>
      </c>
      <c r="E64" s="98" t="s">
        <v>280</v>
      </c>
      <c r="N64" s="170">
        <v>46</v>
      </c>
      <c r="O64" s="199">
        <f t="shared" si="41"/>
        <v>28.840315031266066</v>
      </c>
      <c r="P64" s="189" t="str">
        <f t="shared" si="32"/>
        <v>290</v>
      </c>
      <c r="Q64" s="160" t="e">
        <f t="shared" si="33"/>
        <v>#DIV/0!</v>
      </c>
      <c r="R64" s="160" t="e">
        <f t="shared" si="42"/>
        <v>#DIV/0!</v>
      </c>
      <c r="S64" s="160" t="e">
        <f t="shared" si="43"/>
        <v>#DIV/0!</v>
      </c>
      <c r="T64" s="160" t="e">
        <f t="shared" si="34"/>
        <v>#DIV/0!</v>
      </c>
      <c r="U64" s="160" t="e">
        <f t="shared" si="44"/>
        <v>#DIV/0!</v>
      </c>
      <c r="V64" s="160" t="e">
        <f t="shared" si="45"/>
        <v>#DIV/0!</v>
      </c>
      <c r="W64" s="98" t="str">
        <f t="shared" si="35"/>
        <v>1-0.00144400956665672i</v>
      </c>
      <c r="X64" s="160">
        <f t="shared" si="46"/>
        <v>1.0000010425812709</v>
      </c>
      <c r="Y64" s="160">
        <f t="shared" si="47"/>
        <v>-1.4440085629925665E-3</v>
      </c>
      <c r="Z64" s="98" t="str">
        <f t="shared" si="36"/>
        <v>0.999999982814798+0.000171472565818113i</v>
      </c>
      <c r="AA64" s="160">
        <f t="shared" si="48"/>
        <v>0.99999999751621871</v>
      </c>
      <c r="AB64" s="160">
        <f t="shared" si="49"/>
        <v>1.7147256708431016E-4</v>
      </c>
      <c r="AC64" s="171" t="e">
        <f t="shared" si="50"/>
        <v>#DIV/0!</v>
      </c>
      <c r="AD64" s="190" t="e">
        <f t="shared" si="51"/>
        <v>#DIV/0!</v>
      </c>
      <c r="AE64" s="169" t="e">
        <f t="shared" si="52"/>
        <v>#DIV/0!</v>
      </c>
      <c r="AF64" s="98" t="str">
        <f t="shared" si="37"/>
        <v>-0.0000182926829268293</v>
      </c>
      <c r="AG64" s="98" t="str">
        <f t="shared" si="38"/>
        <v>4.02646495010035E-06i</v>
      </c>
      <c r="AH64" s="98">
        <f t="shared" si="53"/>
        <v>4.0264649501003501E-6</v>
      </c>
      <c r="AI64" s="98">
        <f t="shared" si="54"/>
        <v>1.5707963267948966</v>
      </c>
      <c r="AJ64" s="98" t="str">
        <f t="shared" si="39"/>
        <v>1+0.000394712768365882i</v>
      </c>
      <c r="AK64" s="98">
        <f t="shared" si="55"/>
        <v>1.0000000778990816</v>
      </c>
      <c r="AL64" s="98">
        <f t="shared" si="56"/>
        <v>3.9471274786737499E-4</v>
      </c>
      <c r="AM64" s="98" t="str">
        <f t="shared" si="40"/>
        <v>1+0.039865989604954i</v>
      </c>
      <c r="AN64" s="98">
        <f t="shared" si="57"/>
        <v>1.0007943330810694</v>
      </c>
      <c r="AO64" s="98">
        <f t="shared" si="58"/>
        <v>3.9844890087093882E-2</v>
      </c>
      <c r="AP64" s="168" t="str">
        <f t="shared" si="59"/>
        <v>-0.179322420124137+4.54318320167683i</v>
      </c>
      <c r="AQ64" s="98">
        <f t="shared" si="60"/>
        <v>13.153965748239134</v>
      </c>
      <c r="AR64" s="169">
        <f t="shared" si="61"/>
        <v>92.260328662580307</v>
      </c>
      <c r="AS64" s="168" t="e">
        <f t="shared" si="62"/>
        <v>#DIV/0!</v>
      </c>
      <c r="AT64" s="190" t="e">
        <f t="shared" si="63"/>
        <v>#DIV/0!</v>
      </c>
      <c r="AU64" s="169" t="e">
        <f t="shared" si="64"/>
        <v>#DIV/0!</v>
      </c>
      <c r="AV64" s="225"/>
      <c r="AX64" t="e">
        <f t="shared" si="65"/>
        <v>#DIV/0!</v>
      </c>
      <c r="AY64" t="e">
        <f t="shared" si="66"/>
        <v>#DIV/0!</v>
      </c>
    </row>
    <row r="65" spans="1:51" x14ac:dyDescent="0.25">
      <c r="N65" s="170">
        <v>47</v>
      </c>
      <c r="O65" s="199">
        <f t="shared" si="41"/>
        <v>29.512092266663863</v>
      </c>
      <c r="P65" s="189" t="str">
        <f t="shared" si="32"/>
        <v>290</v>
      </c>
      <c r="Q65" s="160" t="e">
        <f t="shared" si="33"/>
        <v>#DIV/0!</v>
      </c>
      <c r="R65" s="160" t="e">
        <f t="shared" si="42"/>
        <v>#DIV/0!</v>
      </c>
      <c r="S65" s="160" t="e">
        <f t="shared" si="43"/>
        <v>#DIV/0!</v>
      </c>
      <c r="T65" s="160" t="e">
        <f t="shared" si="34"/>
        <v>#DIV/0!</v>
      </c>
      <c r="U65" s="160" t="e">
        <f t="shared" si="44"/>
        <v>#DIV/0!</v>
      </c>
      <c r="V65" s="160" t="e">
        <f t="shared" si="45"/>
        <v>#DIV/0!</v>
      </c>
      <c r="W65" s="98" t="str">
        <f t="shared" si="35"/>
        <v>1-0.00147764487034619i</v>
      </c>
      <c r="X65" s="160">
        <f t="shared" si="46"/>
        <v>1.0000010917165856</v>
      </c>
      <c r="Y65" s="160">
        <f t="shared" si="47"/>
        <v>-1.4776437949007369E-3</v>
      </c>
      <c r="Z65" s="98" t="str">
        <f t="shared" si="36"/>
        <v>0.999999982004884+0.000175466674970076i</v>
      </c>
      <c r="AA65" s="160">
        <f t="shared" si="48"/>
        <v>0.99999999739916123</v>
      </c>
      <c r="AB65" s="160">
        <f t="shared" si="49"/>
        <v>1.7546667632683074E-4</v>
      </c>
      <c r="AC65" s="171" t="e">
        <f t="shared" si="50"/>
        <v>#DIV/0!</v>
      </c>
      <c r="AD65" s="190" t="e">
        <f t="shared" si="51"/>
        <v>#DIV/0!</v>
      </c>
      <c r="AE65" s="169" t="e">
        <f t="shared" si="52"/>
        <v>#DIV/0!</v>
      </c>
      <c r="AF65" s="98" t="str">
        <f t="shared" si="37"/>
        <v>-0.0000182926829268293</v>
      </c>
      <c r="AG65" s="98" t="str">
        <f t="shared" si="38"/>
        <v>4.12025336710176E-06i</v>
      </c>
      <c r="AH65" s="98">
        <f t="shared" si="53"/>
        <v>4.1202533671017601E-6</v>
      </c>
      <c r="AI65" s="98">
        <f t="shared" si="54"/>
        <v>1.5707963267948966</v>
      </c>
      <c r="AJ65" s="98" t="str">
        <f t="shared" si="39"/>
        <v>1+0.000403906809832543i</v>
      </c>
      <c r="AK65" s="98">
        <f t="shared" si="55"/>
        <v>1.0000000815703523</v>
      </c>
      <c r="AL65" s="98">
        <f t="shared" si="56"/>
        <v>4.0390678786799707E-4</v>
      </c>
      <c r="AM65" s="98" t="str">
        <f t="shared" si="40"/>
        <v>1+0.0407945877930868i</v>
      </c>
      <c r="AN65" s="98">
        <f t="shared" si="57"/>
        <v>1.0008317532898363</v>
      </c>
      <c r="AO65" s="98">
        <f t="shared" si="58"/>
        <v>4.0771980267023181E-2</v>
      </c>
      <c r="AP65" s="168" t="str">
        <f t="shared" si="59"/>
        <v>-0.179322418807455+4.43977098616585i</v>
      </c>
      <c r="AQ65" s="98">
        <f t="shared" si="60"/>
        <v>12.954290480107558</v>
      </c>
      <c r="AR65" s="169">
        <f t="shared" si="61"/>
        <v>92.31292023742958</v>
      </c>
      <c r="AS65" s="168" t="e">
        <f t="shared" si="62"/>
        <v>#DIV/0!</v>
      </c>
      <c r="AT65" s="190" t="e">
        <f t="shared" si="63"/>
        <v>#DIV/0!</v>
      </c>
      <c r="AU65" s="169" t="e">
        <f t="shared" si="64"/>
        <v>#DIV/0!</v>
      </c>
      <c r="AV65" s="225"/>
      <c r="AX65" t="e">
        <f t="shared" si="65"/>
        <v>#DIV/0!</v>
      </c>
      <c r="AY65" t="e">
        <f t="shared" si="66"/>
        <v>#DIV/0!</v>
      </c>
    </row>
    <row r="66" spans="1:51" x14ac:dyDescent="0.25">
      <c r="N66" s="170">
        <v>48</v>
      </c>
      <c r="O66" s="199">
        <f t="shared" si="41"/>
        <v>30.199517204020164</v>
      </c>
      <c r="P66" s="189" t="str">
        <f t="shared" si="32"/>
        <v>290</v>
      </c>
      <c r="Q66" s="160" t="e">
        <f t="shared" si="33"/>
        <v>#DIV/0!</v>
      </c>
      <c r="R66" s="160" t="e">
        <f t="shared" si="42"/>
        <v>#DIV/0!</v>
      </c>
      <c r="S66" s="160" t="e">
        <f t="shared" si="43"/>
        <v>#DIV/0!</v>
      </c>
      <c r="T66" s="160" t="e">
        <f t="shared" si="34"/>
        <v>#DIV/0!</v>
      </c>
      <c r="U66" s="160" t="e">
        <f t="shared" si="44"/>
        <v>#DIV/0!</v>
      </c>
      <c r="V66" s="160" t="e">
        <f t="shared" si="45"/>
        <v>#DIV/0!</v>
      </c>
      <c r="W66" s="98" t="str">
        <f t="shared" si="35"/>
        <v>1-0.00151206364090486i</v>
      </c>
      <c r="X66" s="160">
        <f t="shared" si="46"/>
        <v>1.0000011431675737</v>
      </c>
      <c r="Y66" s="160">
        <f t="shared" si="47"/>
        <v>-1.5120624885443664E-3</v>
      </c>
      <c r="Z66" s="98" t="str">
        <f t="shared" si="36"/>
        <v>0.999999981156801+0.000179553818875683i</v>
      </c>
      <c r="AA66" s="160">
        <f t="shared" si="48"/>
        <v>0.99999999727658795</v>
      </c>
      <c r="AB66" s="160">
        <f t="shared" si="49"/>
        <v>1.795538203294718E-4</v>
      </c>
      <c r="AC66" s="171" t="e">
        <f t="shared" si="50"/>
        <v>#DIV/0!</v>
      </c>
      <c r="AD66" s="190" t="e">
        <f t="shared" si="51"/>
        <v>#DIV/0!</v>
      </c>
      <c r="AE66" s="169" t="e">
        <f t="shared" si="52"/>
        <v>#DIV/0!</v>
      </c>
      <c r="AF66" s="98" t="str">
        <f t="shared" si="37"/>
        <v>-0.0000182926829268293</v>
      </c>
      <c r="AG66" s="98" t="str">
        <f t="shared" si="38"/>
        <v>4.21622639697641E-06i</v>
      </c>
      <c r="AH66" s="98">
        <f t="shared" si="53"/>
        <v>4.2162263969764096E-6</v>
      </c>
      <c r="AI66" s="98">
        <f t="shared" si="54"/>
        <v>1.5707963267948966</v>
      </c>
      <c r="AJ66" s="98" t="str">
        <f t="shared" si="39"/>
        <v>1+0.000413315008036116i</v>
      </c>
      <c r="AK66" s="98">
        <f t="shared" si="55"/>
        <v>1.0000000854146442</v>
      </c>
      <c r="AL66" s="98">
        <f t="shared" si="56"/>
        <v>4.1331498450068119E-4</v>
      </c>
      <c r="AM66" s="98" t="str">
        <f t="shared" si="40"/>
        <v>1+0.0417448158116477i</v>
      </c>
      <c r="AN66" s="98">
        <f t="shared" si="57"/>
        <v>1.0008709355592</v>
      </c>
      <c r="AO66" s="98">
        <f t="shared" si="58"/>
        <v>4.1720592549363687E-2</v>
      </c>
      <c r="AP66" s="168" t="str">
        <f t="shared" si="59"/>
        <v>-0.17932241742872+4.338712795999i</v>
      </c>
      <c r="AQ66" s="98">
        <f t="shared" si="60"/>
        <v>12.754630490089944</v>
      </c>
      <c r="AR66" s="169">
        <f t="shared" si="61"/>
        <v>92.366732667642069</v>
      </c>
      <c r="AS66" s="168" t="e">
        <f t="shared" si="62"/>
        <v>#DIV/0!</v>
      </c>
      <c r="AT66" s="190" t="e">
        <f t="shared" si="63"/>
        <v>#DIV/0!</v>
      </c>
      <c r="AU66" s="169" t="e">
        <f t="shared" si="64"/>
        <v>#DIV/0!</v>
      </c>
      <c r="AV66" s="225"/>
      <c r="AX66" t="e">
        <f t="shared" si="65"/>
        <v>#DIV/0!</v>
      </c>
      <c r="AY66" t="e">
        <f t="shared" si="66"/>
        <v>#DIV/0!</v>
      </c>
    </row>
    <row r="67" spans="1:51" x14ac:dyDescent="0.25">
      <c r="N67" s="170">
        <v>49</v>
      </c>
      <c r="O67" s="199">
        <f t="shared" si="41"/>
        <v>30.902954325135919</v>
      </c>
      <c r="P67" s="189" t="str">
        <f t="shared" si="32"/>
        <v>290</v>
      </c>
      <c r="Q67" s="160" t="e">
        <f t="shared" si="33"/>
        <v>#DIV/0!</v>
      </c>
      <c r="R67" s="160" t="e">
        <f t="shared" si="42"/>
        <v>#DIV/0!</v>
      </c>
      <c r="S67" s="160" t="e">
        <f t="shared" si="43"/>
        <v>#DIV/0!</v>
      </c>
      <c r="T67" s="160" t="e">
        <f t="shared" si="34"/>
        <v>#DIV/0!</v>
      </c>
      <c r="U67" s="160" t="e">
        <f t="shared" si="44"/>
        <v>#DIV/0!</v>
      </c>
      <c r="V67" s="160" t="e">
        <f t="shared" si="45"/>
        <v>#DIV/0!</v>
      </c>
      <c r="W67" s="98" t="str">
        <f t="shared" si="35"/>
        <v>1-0.00154728412762046i</v>
      </c>
      <c r="X67" s="160">
        <f t="shared" si="46"/>
        <v>1.0000011970433693</v>
      </c>
      <c r="Y67" s="160">
        <f t="shared" si="47"/>
        <v>-1.5472828928440245E-3</v>
      </c>
      <c r="Z67" s="98" t="str">
        <f t="shared" si="36"/>
        <v>0.999999980268748+0.000183736164592734i</v>
      </c>
      <c r="AA67" s="160">
        <f t="shared" si="48"/>
        <v>0.99999999714823729</v>
      </c>
      <c r="AB67" s="160">
        <f t="shared" si="49"/>
        <v>1.8373616615049681E-4</v>
      </c>
      <c r="AC67" s="171" t="e">
        <f t="shared" si="50"/>
        <v>#DIV/0!</v>
      </c>
      <c r="AD67" s="190" t="e">
        <f t="shared" si="51"/>
        <v>#DIV/0!</v>
      </c>
      <c r="AE67" s="169" t="e">
        <f t="shared" si="52"/>
        <v>#DIV/0!</v>
      </c>
      <c r="AF67" s="98" t="str">
        <f t="shared" si="37"/>
        <v>-0.0000182926829268293</v>
      </c>
      <c r="AG67" s="98" t="str">
        <f t="shared" si="38"/>
        <v>0.0000043144349258951i</v>
      </c>
      <c r="AH67" s="98">
        <f t="shared" si="53"/>
        <v>4.3144349258950996E-6</v>
      </c>
      <c r="AI67" s="98">
        <f t="shared" si="54"/>
        <v>1.5707963267948966</v>
      </c>
      <c r="AJ67" s="98" t="str">
        <f t="shared" si="39"/>
        <v>1+0.000422942351327821i</v>
      </c>
      <c r="AK67" s="98">
        <f t="shared" si="55"/>
        <v>1.0000000894401122</v>
      </c>
      <c r="AL67" s="98">
        <f t="shared" si="56"/>
        <v>4.229423261091483E-4</v>
      </c>
      <c r="AM67" s="98" t="str">
        <f t="shared" si="40"/>
        <v>1+0.0427171774841099i</v>
      </c>
      <c r="AN67" s="98">
        <f t="shared" si="57"/>
        <v>1.0009119627880412</v>
      </c>
      <c r="AO67" s="98">
        <f t="shared" si="58"/>
        <v>4.2691223068025426E-2</v>
      </c>
      <c r="AP67" s="168" t="str">
        <f t="shared" si="59"/>
        <v>-0.179322415985006+4.23995504878618i</v>
      </c>
      <c r="AQ67" s="98">
        <f t="shared" si="60"/>
        <v>12.554986495714996</v>
      </c>
      <c r="AR67" s="169">
        <f t="shared" si="61"/>
        <v>92.421794093785891</v>
      </c>
      <c r="AS67" s="168" t="e">
        <f t="shared" si="62"/>
        <v>#DIV/0!</v>
      </c>
      <c r="AT67" s="190" t="e">
        <f t="shared" si="63"/>
        <v>#DIV/0!</v>
      </c>
      <c r="AU67" s="169" t="e">
        <f t="shared" si="64"/>
        <v>#DIV/0!</v>
      </c>
      <c r="AV67" s="225"/>
      <c r="AX67" t="e">
        <f t="shared" si="65"/>
        <v>#DIV/0!</v>
      </c>
      <c r="AY67" t="e">
        <f t="shared" si="66"/>
        <v>#DIV/0!</v>
      </c>
    </row>
    <row r="68" spans="1:51" x14ac:dyDescent="0.25">
      <c r="A68" s="214" t="e">
        <f>"Crossover Frequency = "&amp;B68</f>
        <v>#DIV/0!</v>
      </c>
      <c r="B68" t="e">
        <f>ROUND(D68,1)&amp;" kHz"</f>
        <v>#DIV/0!</v>
      </c>
      <c r="C68" s="215"/>
      <c r="D68" s="216" t="e">
        <f>AY12</f>
        <v>#DIV/0!</v>
      </c>
      <c r="N68" s="170">
        <v>50</v>
      </c>
      <c r="O68" s="199">
        <f t="shared" si="41"/>
        <v>31.622776601683803</v>
      </c>
      <c r="P68" s="189" t="str">
        <f t="shared" si="32"/>
        <v>290</v>
      </c>
      <c r="Q68" s="160" t="e">
        <f t="shared" si="33"/>
        <v>#DIV/0!</v>
      </c>
      <c r="R68" s="160" t="e">
        <f t="shared" si="42"/>
        <v>#DIV/0!</v>
      </c>
      <c r="S68" s="160" t="e">
        <f t="shared" si="43"/>
        <v>#DIV/0!</v>
      </c>
      <c r="T68" s="160" t="e">
        <f t="shared" si="34"/>
        <v>#DIV/0!</v>
      </c>
      <c r="U68" s="160" t="e">
        <f t="shared" si="44"/>
        <v>#DIV/0!</v>
      </c>
      <c r="V68" s="160" t="e">
        <f t="shared" si="45"/>
        <v>#DIV/0!</v>
      </c>
      <c r="W68" s="98" t="str">
        <f t="shared" si="35"/>
        <v>1-0.00158332500486126i</v>
      </c>
      <c r="X68" s="160">
        <f t="shared" si="46"/>
        <v>1.0000012534582499</v>
      </c>
      <c r="Y68" s="160">
        <f t="shared" si="47"/>
        <v>-1.5833236817745613E-3</v>
      </c>
      <c r="Z68" s="98" t="str">
        <f t="shared" si="36"/>
        <v>0.999999979338843+0.000188015929656288i</v>
      </c>
      <c r="AA68" s="160">
        <f t="shared" si="48"/>
        <v>0.99999999701383813</v>
      </c>
      <c r="AB68" s="160">
        <f t="shared" si="49"/>
        <v>1.8801593132546091E-4</v>
      </c>
      <c r="AC68" s="171" t="e">
        <f t="shared" si="50"/>
        <v>#DIV/0!</v>
      </c>
      <c r="AD68" s="190" t="e">
        <f t="shared" si="51"/>
        <v>#DIV/0!</v>
      </c>
      <c r="AE68" s="169" t="e">
        <f t="shared" si="52"/>
        <v>#DIV/0!</v>
      </c>
      <c r="AF68" s="98" t="str">
        <f t="shared" si="37"/>
        <v>-0.0000182926829268293</v>
      </c>
      <c r="AG68" s="98" t="str">
        <f t="shared" si="38"/>
        <v>4.41493102531979E-06i</v>
      </c>
      <c r="AH68" s="98">
        <f t="shared" si="53"/>
        <v>4.4149310253197897E-6</v>
      </c>
      <c r="AI68" s="98">
        <f t="shared" si="54"/>
        <v>1.5707963267948966</v>
      </c>
      <c r="AJ68" s="98" t="str">
        <f t="shared" si="39"/>
        <v>1+0.000432793944252503i</v>
      </c>
      <c r="AK68" s="98">
        <f t="shared" si="55"/>
        <v>1.0000000936552946</v>
      </c>
      <c r="AL68" s="98">
        <f t="shared" si="56"/>
        <v>4.3279391723020851E-4</v>
      </c>
      <c r="AM68" s="98" t="str">
        <f t="shared" si="40"/>
        <v>1+0.0437121883695028i</v>
      </c>
      <c r="AN68" s="98">
        <f t="shared" si="57"/>
        <v>1.0009549217682339</v>
      </c>
      <c r="AO68" s="98">
        <f t="shared" si="58"/>
        <v>4.3684379144357396E-2</v>
      </c>
      <c r="AP68" s="168" t="str">
        <f t="shared" si="59"/>
        <v>-0.179322414473253+4.14344538186261i</v>
      </c>
      <c r="AQ68" s="98">
        <f t="shared" si="60"/>
        <v>12.355359248086357</v>
      </c>
      <c r="AR68" s="169">
        <f t="shared" si="61"/>
        <v>92.47813329076476</v>
      </c>
      <c r="AS68" s="168" t="e">
        <f t="shared" si="62"/>
        <v>#DIV/0!</v>
      </c>
      <c r="AT68" s="190" t="e">
        <f t="shared" si="63"/>
        <v>#DIV/0!</v>
      </c>
      <c r="AU68" s="169" t="e">
        <f t="shared" si="64"/>
        <v>#DIV/0!</v>
      </c>
      <c r="AV68" s="225"/>
      <c r="AX68" t="e">
        <f t="shared" si="65"/>
        <v>#DIV/0!</v>
      </c>
      <c r="AY68" t="e">
        <f t="shared" si="66"/>
        <v>#DIV/0!</v>
      </c>
    </row>
    <row r="69" spans="1:51" x14ac:dyDescent="0.25">
      <c r="A69" s="214" t="e">
        <f>"Phase Margin = "&amp;B69</f>
        <v>#DIV/0!</v>
      </c>
      <c r="B69" s="217" t="e">
        <f>ROUND(D69,0)&amp;"°"</f>
        <v>#DIV/0!</v>
      </c>
      <c r="C69" s="218"/>
      <c r="D69" s="23" t="e">
        <f>AY14</f>
        <v>#DIV/0!</v>
      </c>
      <c r="N69" s="170">
        <v>51</v>
      </c>
      <c r="O69" s="199">
        <f t="shared" si="41"/>
        <v>32.359365692962832</v>
      </c>
      <c r="P69" s="189" t="str">
        <f t="shared" si="32"/>
        <v>290</v>
      </c>
      <c r="Q69" s="160" t="e">
        <f t="shared" si="33"/>
        <v>#DIV/0!</v>
      </c>
      <c r="R69" s="160" t="e">
        <f t="shared" si="42"/>
        <v>#DIV/0!</v>
      </c>
      <c r="S69" s="160" t="e">
        <f t="shared" si="43"/>
        <v>#DIV/0!</v>
      </c>
      <c r="T69" s="160" t="e">
        <f t="shared" si="34"/>
        <v>#DIV/0!</v>
      </c>
      <c r="U69" s="160" t="e">
        <f t="shared" si="44"/>
        <v>#DIV/0!</v>
      </c>
      <c r="V69" s="160" t="e">
        <f t="shared" si="45"/>
        <v>#DIV/0!</v>
      </c>
      <c r="W69" s="98" t="str">
        <f t="shared" si="35"/>
        <v>1-0.00162020538197741i</v>
      </c>
      <c r="X69" s="160">
        <f t="shared" si="46"/>
        <v>1.0000013125318785</v>
      </c>
      <c r="Y69" s="160">
        <f t="shared" si="47"/>
        <v>-1.6202039642645701E-3</v>
      </c>
      <c r="Z69" s="98" t="str">
        <f t="shared" si="36"/>
        <v>0.999999978365113+0.000192395383254431i</v>
      </c>
      <c r="AA69" s="160">
        <f t="shared" si="48"/>
        <v>0.99999999687310503</v>
      </c>
      <c r="AB69" s="160">
        <f t="shared" si="49"/>
        <v>1.9239538504298192E-4</v>
      </c>
      <c r="AC69" s="171" t="e">
        <f t="shared" si="50"/>
        <v>#DIV/0!</v>
      </c>
      <c r="AD69" s="190" t="e">
        <f t="shared" si="51"/>
        <v>#DIV/0!</v>
      </c>
      <c r="AE69" s="169" t="e">
        <f t="shared" si="52"/>
        <v>#DIV/0!</v>
      </c>
      <c r="AF69" s="98" t="str">
        <f t="shared" si="37"/>
        <v>-0.0000182926829268293</v>
      </c>
      <c r="AG69" s="98" t="str">
        <f t="shared" si="38"/>
        <v>4.51776797961262E-06i</v>
      </c>
      <c r="AH69" s="98">
        <f t="shared" si="53"/>
        <v>4.5177679796126201E-6</v>
      </c>
      <c r="AI69" s="98">
        <f t="shared" si="54"/>
        <v>1.5707963267948966</v>
      </c>
      <c r="AJ69" s="98" t="str">
        <f t="shared" si="39"/>
        <v>1+0.000442875010255134i</v>
      </c>
      <c r="AK69" s="98">
        <f t="shared" si="55"/>
        <v>1.0000000980691326</v>
      </c>
      <c r="AL69" s="98">
        <f t="shared" si="56"/>
        <v>4.4287498130022392E-4</v>
      </c>
      <c r="AM69" s="98" t="str">
        <f t="shared" si="40"/>
        <v>1+0.0447303760357685i</v>
      </c>
      <c r="AN69" s="98">
        <f t="shared" si="57"/>
        <v>1.0009999033667791</v>
      </c>
      <c r="AO69" s="98">
        <f t="shared" si="58"/>
        <v>4.4700579521526347E-2</v>
      </c>
      <c r="AP69" s="168" t="str">
        <f t="shared" si="59"/>
        <v>-0.179322412890253+4.04913262452544i</v>
      </c>
      <c r="AQ69" s="98">
        <f t="shared" si="60"/>
        <v>12.155749533441769</v>
      </c>
      <c r="AR69" s="169">
        <f t="shared" si="61"/>
        <v>92.535779681091924</v>
      </c>
      <c r="AS69" s="168" t="e">
        <f t="shared" si="62"/>
        <v>#DIV/0!</v>
      </c>
      <c r="AT69" s="190" t="e">
        <f t="shared" si="63"/>
        <v>#DIV/0!</v>
      </c>
      <c r="AU69" s="169" t="e">
        <f t="shared" si="64"/>
        <v>#DIV/0!</v>
      </c>
      <c r="AV69" s="225"/>
      <c r="AX69" t="e">
        <f t="shared" si="65"/>
        <v>#DIV/0!</v>
      </c>
      <c r="AY69" t="e">
        <f t="shared" si="66"/>
        <v>#DIV/0!</v>
      </c>
    </row>
    <row r="70" spans="1:51" x14ac:dyDescent="0.25">
      <c r="N70" s="170">
        <v>52</v>
      </c>
      <c r="O70" s="199">
        <f t="shared" si="41"/>
        <v>33.113112148259127</v>
      </c>
      <c r="P70" s="189" t="str">
        <f t="shared" si="32"/>
        <v>290</v>
      </c>
      <c r="Q70" s="160" t="e">
        <f t="shared" si="33"/>
        <v>#DIV/0!</v>
      </c>
      <c r="R70" s="160" t="e">
        <f t="shared" si="42"/>
        <v>#DIV/0!</v>
      </c>
      <c r="S70" s="160" t="e">
        <f t="shared" si="43"/>
        <v>#DIV/0!</v>
      </c>
      <c r="T70" s="160" t="e">
        <f t="shared" si="34"/>
        <v>#DIV/0!</v>
      </c>
      <c r="U70" s="160" t="e">
        <f t="shared" si="44"/>
        <v>#DIV/0!</v>
      </c>
      <c r="V70" s="160" t="e">
        <f t="shared" si="45"/>
        <v>#DIV/0!</v>
      </c>
      <c r="W70" s="98" t="str">
        <f t="shared" si="35"/>
        <v>1-0.00165794481343306i</v>
      </c>
      <c r="X70" s="160">
        <f t="shared" si="46"/>
        <v>1.0000013743895577</v>
      </c>
      <c r="Y70" s="160">
        <f t="shared" si="47"/>
        <v>-1.6579432943264955E-3</v>
      </c>
      <c r="Z70" s="98" t="str">
        <f t="shared" si="36"/>
        <v>0.999999977345492+0.00019687684743143i</v>
      </c>
      <c r="AA70" s="160">
        <f t="shared" si="48"/>
        <v>0.99999999672573869</v>
      </c>
      <c r="AB70" s="160">
        <f t="shared" si="49"/>
        <v>1.9687684934789691E-4</v>
      </c>
      <c r="AC70" s="171" t="e">
        <f t="shared" si="50"/>
        <v>#DIV/0!</v>
      </c>
      <c r="AD70" s="190" t="e">
        <f t="shared" si="51"/>
        <v>#DIV/0!</v>
      </c>
      <c r="AE70" s="169" t="e">
        <f t="shared" si="52"/>
        <v>#DIV/0!</v>
      </c>
      <c r="AF70" s="98" t="str">
        <f t="shared" si="37"/>
        <v>-0.0000182926829268293</v>
      </c>
      <c r="AG70" s="98" t="str">
        <f t="shared" si="38"/>
        <v>4.62300031428798E-06i</v>
      </c>
      <c r="AH70" s="98">
        <f t="shared" si="53"/>
        <v>4.6230003142879799E-6</v>
      </c>
      <c r="AI70" s="98">
        <f t="shared" si="54"/>
        <v>1.5707963267948966</v>
      </c>
      <c r="AJ70" s="98" t="str">
        <f t="shared" si="39"/>
        <v>1+0.000453190894450347i</v>
      </c>
      <c r="AK70" s="98">
        <f t="shared" si="55"/>
        <v>1.0000001026909882</v>
      </c>
      <c r="AL70" s="98">
        <f t="shared" si="56"/>
        <v>4.5319086342460201E-4</v>
      </c>
      <c r="AM70" s="98" t="str">
        <f t="shared" si="40"/>
        <v>1+0.045772280339485i</v>
      </c>
      <c r="AN70" s="98">
        <f t="shared" si="57"/>
        <v>1.001047002716394</v>
      </c>
      <c r="AO70" s="98">
        <f t="shared" si="58"/>
        <v>4.574035460250174E-2</v>
      </c>
      <c r="AP70" s="168" t="str">
        <f t="shared" si="59"/>
        <v>-0.179322411232649+3.95696677090232i</v>
      </c>
      <c r="AQ70" s="98">
        <f t="shared" si="60"/>
        <v>11.956158174783383</v>
      </c>
      <c r="AR70" s="169">
        <f t="shared" si="61"/>
        <v>92.59476334836701</v>
      </c>
      <c r="AS70" s="168" t="e">
        <f t="shared" si="62"/>
        <v>#DIV/0!</v>
      </c>
      <c r="AT70" s="190" t="e">
        <f t="shared" si="63"/>
        <v>#DIV/0!</v>
      </c>
      <c r="AU70" s="169" t="e">
        <f t="shared" si="64"/>
        <v>#DIV/0!</v>
      </c>
      <c r="AV70" s="225"/>
      <c r="AX70" t="e">
        <f t="shared" si="65"/>
        <v>#DIV/0!</v>
      </c>
      <c r="AY70" t="e">
        <f t="shared" si="66"/>
        <v>#DIV/0!</v>
      </c>
    </row>
    <row r="71" spans="1:51" x14ac:dyDescent="0.25">
      <c r="N71" s="170">
        <v>53</v>
      </c>
      <c r="O71" s="199">
        <f t="shared" si="41"/>
        <v>33.884415613920268</v>
      </c>
      <c r="P71" s="189" t="str">
        <f t="shared" si="32"/>
        <v>290</v>
      </c>
      <c r="Q71" s="160" t="e">
        <f t="shared" si="33"/>
        <v>#DIV/0!</v>
      </c>
      <c r="R71" s="160" t="e">
        <f t="shared" si="42"/>
        <v>#DIV/0!</v>
      </c>
      <c r="S71" s="160" t="e">
        <f t="shared" si="43"/>
        <v>#DIV/0!</v>
      </c>
      <c r="T71" s="160" t="e">
        <f t="shared" si="34"/>
        <v>#DIV/0!</v>
      </c>
      <c r="U71" s="160" t="e">
        <f t="shared" si="44"/>
        <v>#DIV/0!</v>
      </c>
      <c r="V71" s="160" t="e">
        <f t="shared" si="45"/>
        <v>#DIV/0!</v>
      </c>
      <c r="W71" s="98" t="str">
        <f t="shared" si="35"/>
        <v>1-0.00169656330917426i</v>
      </c>
      <c r="X71" s="160">
        <f t="shared" si="46"/>
        <v>1.0000014391624954</v>
      </c>
      <c r="Y71" s="160">
        <f t="shared" si="47"/>
        <v>-1.6965616814223761E-3</v>
      </c>
      <c r="Z71" s="98" t="str">
        <f t="shared" si="36"/>
        <v>0.999999976277818+0.000201462698318908i</v>
      </c>
      <c r="AA71" s="160">
        <f t="shared" si="48"/>
        <v>0.99999999657142769</v>
      </c>
      <c r="AB71" s="160">
        <f t="shared" si="49"/>
        <v>2.0146270037243923E-4</v>
      </c>
      <c r="AC71" s="171" t="e">
        <f t="shared" si="50"/>
        <v>#DIV/0!</v>
      </c>
      <c r="AD71" s="190" t="e">
        <f t="shared" si="51"/>
        <v>#DIV/0!</v>
      </c>
      <c r="AE71" s="169" t="e">
        <f t="shared" si="52"/>
        <v>#DIV/0!</v>
      </c>
      <c r="AF71" s="98" t="str">
        <f t="shared" si="37"/>
        <v>-0.0000182926829268293</v>
      </c>
      <c r="AG71" s="98" t="str">
        <f t="shared" si="38"/>
        <v>4.73068382492261E-06i</v>
      </c>
      <c r="AH71" s="98">
        <f t="shared" si="53"/>
        <v>4.7306838249226104E-6</v>
      </c>
      <c r="AI71" s="98">
        <f t="shared" si="54"/>
        <v>1.5707963267948966</v>
      </c>
      <c r="AJ71" s="98" t="str">
        <f t="shared" si="39"/>
        <v>1+0.000463747066456485i</v>
      </c>
      <c r="AK71" s="98">
        <f t="shared" si="55"/>
        <v>1.000000107530665</v>
      </c>
      <c r="AL71" s="98">
        <f t="shared" si="56"/>
        <v>4.6374703321180053E-4</v>
      </c>
      <c r="AM71" s="98" t="str">
        <f t="shared" si="40"/>
        <v>1+0.046838453712105i</v>
      </c>
      <c r="AN71" s="98">
        <f t="shared" si="57"/>
        <v>1.0010963194149407</v>
      </c>
      <c r="AO71" s="98">
        <f t="shared" si="58"/>
        <v>4.6804246691601582E-2</v>
      </c>
      <c r="AP71" s="168" t="str">
        <f t="shared" si="59"/>
        <v>-0.179322409496924+3.86689895343771i</v>
      </c>
      <c r="AQ71" s="98">
        <f t="shared" si="60"/>
        <v>11.756586033582794</v>
      </c>
      <c r="AR71" s="169">
        <f t="shared" si="61"/>
        <v>92.655115050953171</v>
      </c>
      <c r="AS71" s="168" t="e">
        <f t="shared" si="62"/>
        <v>#DIV/0!</v>
      </c>
      <c r="AT71" s="190" t="e">
        <f t="shared" si="63"/>
        <v>#DIV/0!</v>
      </c>
      <c r="AU71" s="169" t="e">
        <f t="shared" si="64"/>
        <v>#DIV/0!</v>
      </c>
      <c r="AV71" s="225"/>
      <c r="AX71" t="e">
        <f t="shared" si="65"/>
        <v>#DIV/0!</v>
      </c>
      <c r="AY71" t="e">
        <f t="shared" si="66"/>
        <v>#DIV/0!</v>
      </c>
    </row>
    <row r="72" spans="1:51" x14ac:dyDescent="0.25">
      <c r="N72" s="170">
        <v>54</v>
      </c>
      <c r="O72" s="199">
        <f t="shared" si="41"/>
        <v>34.67368504525318</v>
      </c>
      <c r="P72" s="189" t="str">
        <f t="shared" si="32"/>
        <v>290</v>
      </c>
      <c r="Q72" s="160" t="e">
        <f t="shared" si="33"/>
        <v>#DIV/0!</v>
      </c>
      <c r="R72" s="160" t="e">
        <f t="shared" si="42"/>
        <v>#DIV/0!</v>
      </c>
      <c r="S72" s="160" t="e">
        <f t="shared" si="43"/>
        <v>#DIV/0!</v>
      </c>
      <c r="T72" s="160" t="e">
        <f t="shared" si="34"/>
        <v>#DIV/0!</v>
      </c>
      <c r="U72" s="160" t="e">
        <f t="shared" si="44"/>
        <v>#DIV/0!</v>
      </c>
      <c r="V72" s="160" t="e">
        <f t="shared" si="45"/>
        <v>#DIV/0!</v>
      </c>
      <c r="W72" s="98" t="str">
        <f t="shared" si="35"/>
        <v>1-0.00173608134523867i</v>
      </c>
      <c r="X72" s="160">
        <f t="shared" si="46"/>
        <v>1.0000015069880832</v>
      </c>
      <c r="Y72" s="160">
        <f t="shared" si="47"/>
        <v>-1.736079601071244E-3</v>
      </c>
      <c r="Z72" s="98" t="str">
        <f t="shared" si="36"/>
        <v>0.999999975159826+0.000206155367395711i</v>
      </c>
      <c r="AA72" s="160">
        <f t="shared" si="48"/>
        <v>0.99999999640984405</v>
      </c>
      <c r="AB72" s="160">
        <f t="shared" si="49"/>
        <v>2.0615536959610935E-4</v>
      </c>
      <c r="AC72" s="171" t="e">
        <f t="shared" si="50"/>
        <v>#DIV/0!</v>
      </c>
      <c r="AD72" s="190" t="e">
        <f t="shared" si="51"/>
        <v>#DIV/0!</v>
      </c>
      <c r="AE72" s="169" t="e">
        <f t="shared" si="52"/>
        <v>#DIV/0!</v>
      </c>
      <c r="AF72" s="98" t="str">
        <f t="shared" si="37"/>
        <v>-0.0000182926829268293</v>
      </c>
      <c r="AG72" s="98" t="str">
        <f t="shared" si="38"/>
        <v>4.84087560673923E-06i</v>
      </c>
      <c r="AH72" s="98">
        <f t="shared" si="53"/>
        <v>4.8408756067392297E-6</v>
      </c>
      <c r="AI72" s="98">
        <f t="shared" si="54"/>
        <v>1.5707963267948966</v>
      </c>
      <c r="AJ72" s="98" t="str">
        <f t="shared" si="39"/>
        <v>1+0.000474549123295679i</v>
      </c>
      <c r="AK72" s="98">
        <f t="shared" si="55"/>
        <v>1.0000001125984288</v>
      </c>
      <c r="AL72" s="98">
        <f t="shared" si="56"/>
        <v>4.7454908767335799E-4</v>
      </c>
      <c r="AM72" s="98" t="str">
        <f t="shared" si="40"/>
        <v>1+0.0479294614528635i</v>
      </c>
      <c r="AN72" s="98">
        <f t="shared" si="57"/>
        <v>1.0011479577341011</v>
      </c>
      <c r="AO72" s="98">
        <f t="shared" si="58"/>
        <v>4.7892810239544774E-2</v>
      </c>
      <c r="AP72" s="168" t="str">
        <f t="shared" si="59"/>
        <v>-0.179322407679396+3.77888141698259i</v>
      </c>
      <c r="AQ72" s="98">
        <f t="shared" si="60"/>
        <v>11.557034011563399</v>
      </c>
      <c r="AR72" s="169">
        <f t="shared" si="61"/>
        <v>92.71686623585137</v>
      </c>
      <c r="AS72" s="168" t="e">
        <f t="shared" si="62"/>
        <v>#DIV/0!</v>
      </c>
      <c r="AT72" s="190" t="e">
        <f t="shared" si="63"/>
        <v>#DIV/0!</v>
      </c>
      <c r="AU72" s="169" t="e">
        <f t="shared" si="64"/>
        <v>#DIV/0!</v>
      </c>
      <c r="AV72" s="225"/>
      <c r="AX72" t="e">
        <f t="shared" si="65"/>
        <v>#DIV/0!</v>
      </c>
      <c r="AY72" t="e">
        <f t="shared" si="66"/>
        <v>#DIV/0!</v>
      </c>
    </row>
    <row r="73" spans="1:51" x14ac:dyDescent="0.25">
      <c r="N73" s="170">
        <v>55</v>
      </c>
      <c r="O73" s="199">
        <f t="shared" si="41"/>
        <v>35.481338923357555</v>
      </c>
      <c r="P73" s="189" t="str">
        <f t="shared" si="32"/>
        <v>290</v>
      </c>
      <c r="Q73" s="160" t="e">
        <f t="shared" si="33"/>
        <v>#DIV/0!</v>
      </c>
      <c r="R73" s="160" t="e">
        <f t="shared" si="42"/>
        <v>#DIV/0!</v>
      </c>
      <c r="S73" s="160" t="e">
        <f t="shared" si="43"/>
        <v>#DIV/0!</v>
      </c>
      <c r="T73" s="160" t="e">
        <f t="shared" si="34"/>
        <v>#DIV/0!</v>
      </c>
      <c r="U73" s="160" t="e">
        <f t="shared" si="44"/>
        <v>#DIV/0!</v>
      </c>
      <c r="V73" s="160" t="e">
        <f t="shared" si="45"/>
        <v>#DIV/0!</v>
      </c>
      <c r="W73" s="98" t="str">
        <f t="shared" si="35"/>
        <v>1-0.00177651987461208i</v>
      </c>
      <c r="X73" s="160">
        <f t="shared" si="46"/>
        <v>1.0000015780101874</v>
      </c>
      <c r="Y73" s="160">
        <f t="shared" si="47"/>
        <v>-1.7765180057031709E-3</v>
      </c>
      <c r="Z73" s="98" t="str">
        <f t="shared" si="36"/>
        <v>0.999999973989144+0.000210957342777095i</v>
      </c>
      <c r="AA73" s="160">
        <f t="shared" si="48"/>
        <v>0.99999999624064451</v>
      </c>
      <c r="AB73" s="160">
        <f t="shared" si="49"/>
        <v>2.1095734513486446E-4</v>
      </c>
      <c r="AC73" s="171" t="e">
        <f t="shared" si="50"/>
        <v>#DIV/0!</v>
      </c>
      <c r="AD73" s="190" t="e">
        <f t="shared" si="51"/>
        <v>#DIV/0!</v>
      </c>
      <c r="AE73" s="169" t="e">
        <f t="shared" si="52"/>
        <v>#DIV/0!</v>
      </c>
      <c r="AF73" s="98" t="str">
        <f t="shared" si="37"/>
        <v>-0.0000182926829268293</v>
      </c>
      <c r="AG73" s="98" t="str">
        <f t="shared" si="38"/>
        <v>4.95363408487909E-06i</v>
      </c>
      <c r="AH73" s="98">
        <f t="shared" si="53"/>
        <v>4.9536340848790896E-6</v>
      </c>
      <c r="AI73" s="98">
        <f t="shared" si="54"/>
        <v>1.5707963267948966</v>
      </c>
      <c r="AJ73" s="98" t="str">
        <f t="shared" si="39"/>
        <v>1+0.000485602792361443i</v>
      </c>
      <c r="AK73" s="98">
        <f t="shared" si="55"/>
        <v>1.0000001179050291</v>
      </c>
      <c r="AL73" s="98">
        <f t="shared" si="56"/>
        <v>4.8560275419143865E-4</v>
      </c>
      <c r="AM73" s="98" t="str">
        <f t="shared" si="40"/>
        <v>1+0.0490458820285057i</v>
      </c>
      <c r="AN73" s="98">
        <f t="shared" si="57"/>
        <v>1.0012020268377178</v>
      </c>
      <c r="AO73" s="98">
        <f t="shared" si="58"/>
        <v>4.9006612091939468E-2</v>
      </c>
      <c r="AP73" s="168" t="str">
        <f t="shared" si="59"/>
        <v>-0.179322405776212+3.6928674934741i</v>
      </c>
      <c r="AQ73" s="98">
        <f t="shared" si="60"/>
        <v>11.357503052564129</v>
      </c>
      <c r="AR73" s="169">
        <f t="shared" si="61"/>
        <v>92.780049052767808</v>
      </c>
      <c r="AS73" s="168" t="e">
        <f t="shared" si="62"/>
        <v>#DIV/0!</v>
      </c>
      <c r="AT73" s="190" t="e">
        <f t="shared" si="63"/>
        <v>#DIV/0!</v>
      </c>
      <c r="AU73" s="169" t="e">
        <f t="shared" si="64"/>
        <v>#DIV/0!</v>
      </c>
      <c r="AV73" s="225"/>
      <c r="AX73" t="e">
        <f t="shared" si="65"/>
        <v>#DIV/0!</v>
      </c>
      <c r="AY73" t="e">
        <f t="shared" si="66"/>
        <v>#DIV/0!</v>
      </c>
    </row>
    <row r="74" spans="1:51" x14ac:dyDescent="0.25">
      <c r="N74" s="170">
        <v>56</v>
      </c>
      <c r="O74" s="199">
        <f t="shared" si="41"/>
        <v>36.307805477010156</v>
      </c>
      <c r="P74" s="189" t="str">
        <f t="shared" si="32"/>
        <v>290</v>
      </c>
      <c r="Q74" s="160" t="e">
        <f t="shared" si="33"/>
        <v>#DIV/0!</v>
      </c>
      <c r="R74" s="160" t="e">
        <f t="shared" si="42"/>
        <v>#DIV/0!</v>
      </c>
      <c r="S74" s="160" t="e">
        <f t="shared" si="43"/>
        <v>#DIV/0!</v>
      </c>
      <c r="T74" s="160" t="e">
        <f t="shared" si="34"/>
        <v>#DIV/0!</v>
      </c>
      <c r="U74" s="160" t="e">
        <f t="shared" si="44"/>
        <v>#DIV/0!</v>
      </c>
      <c r="V74" s="160" t="e">
        <f t="shared" si="45"/>
        <v>#DIV/0!</v>
      </c>
      <c r="W74" s="98" t="str">
        <f t="shared" si="35"/>
        <v>1-0.00181790033833803i</v>
      </c>
      <c r="X74" s="160">
        <f t="shared" si="46"/>
        <v>1.0000016523794548</v>
      </c>
      <c r="Y74" s="160">
        <f t="shared" si="47"/>
        <v>-1.8178983357662328E-3</v>
      </c>
      <c r="Z74" s="98" t="str">
        <f t="shared" si="36"/>
        <v>0.999999972763291+0.000215871170533971i</v>
      </c>
      <c r="AA74" s="160">
        <f t="shared" si="48"/>
        <v>0.99999999606347256</v>
      </c>
      <c r="AB74" s="160">
        <f t="shared" si="49"/>
        <v>2.1587117306036632E-4</v>
      </c>
      <c r="AC74" s="171" t="e">
        <f t="shared" si="50"/>
        <v>#DIV/0!</v>
      </c>
      <c r="AD74" s="190" t="e">
        <f t="shared" si="51"/>
        <v>#DIV/0!</v>
      </c>
      <c r="AE74" s="169" t="e">
        <f t="shared" si="52"/>
        <v>#DIV/0!</v>
      </c>
      <c r="AF74" s="98" t="str">
        <f t="shared" si="37"/>
        <v>-0.0000182926829268293</v>
      </c>
      <c r="AG74" s="98" t="str">
        <f t="shared" si="38"/>
        <v>5.06901904537986E-06i</v>
      </c>
      <c r="AH74" s="98">
        <f t="shared" si="53"/>
        <v>5.06901904537986E-6</v>
      </c>
      <c r="AI74" s="98">
        <f t="shared" si="54"/>
        <v>1.5707963267948966</v>
      </c>
      <c r="AJ74" s="98" t="str">
        <f t="shared" si="39"/>
        <v>1+0.000496913934455433i</v>
      </c>
      <c r="AK74" s="98">
        <f t="shared" si="55"/>
        <v>1.0000001234617215</v>
      </c>
      <c r="AL74" s="98">
        <f t="shared" si="56"/>
        <v>4.9691389355553672E-4</v>
      </c>
      <c r="AM74" s="98" t="str">
        <f t="shared" si="40"/>
        <v>1+0.0501883073799987i</v>
      </c>
      <c r="AN74" s="98">
        <f t="shared" si="57"/>
        <v>1.0012586410102382</v>
      </c>
      <c r="AO74" s="98">
        <f t="shared" si="58"/>
        <v>5.0146231741133411E-2</v>
      </c>
      <c r="AP74" s="168" t="str">
        <f t="shared" si="59"/>
        <v>-0.179322403783334+3.60881157719143i</v>
      </c>
      <c r="AQ74" s="98">
        <f t="shared" si="60"/>
        <v>11.157994144487473</v>
      </c>
      <c r="AR74" s="169">
        <f t="shared" si="61"/>
        <v>92.844696368369753</v>
      </c>
      <c r="AS74" s="168" t="e">
        <f t="shared" si="62"/>
        <v>#DIV/0!</v>
      </c>
      <c r="AT74" s="190" t="e">
        <f t="shared" si="63"/>
        <v>#DIV/0!</v>
      </c>
      <c r="AU74" s="169" t="e">
        <f t="shared" si="64"/>
        <v>#DIV/0!</v>
      </c>
      <c r="AV74" s="225"/>
      <c r="AX74" t="e">
        <f t="shared" si="65"/>
        <v>#DIV/0!</v>
      </c>
      <c r="AY74" t="e">
        <f t="shared" si="66"/>
        <v>#DIV/0!</v>
      </c>
    </row>
    <row r="75" spans="1:51" x14ac:dyDescent="0.25">
      <c r="N75" s="170">
        <v>57</v>
      </c>
      <c r="O75" s="199">
        <f t="shared" si="41"/>
        <v>37.15352290971726</v>
      </c>
      <c r="P75" s="189" t="str">
        <f t="shared" si="32"/>
        <v>290</v>
      </c>
      <c r="Q75" s="160" t="e">
        <f t="shared" si="33"/>
        <v>#DIV/0!</v>
      </c>
      <c r="R75" s="160" t="e">
        <f t="shared" si="42"/>
        <v>#DIV/0!</v>
      </c>
      <c r="S75" s="160" t="e">
        <f t="shared" si="43"/>
        <v>#DIV/0!</v>
      </c>
      <c r="T75" s="160" t="e">
        <f t="shared" si="34"/>
        <v>#DIV/0!</v>
      </c>
      <c r="U75" s="160" t="e">
        <f t="shared" si="44"/>
        <v>#DIV/0!</v>
      </c>
      <c r="V75" s="160" t="e">
        <f t="shared" si="45"/>
        <v>#DIV/0!</v>
      </c>
      <c r="W75" s="98" t="str">
        <f t="shared" si="35"/>
        <v>1-0.00186024467688611i</v>
      </c>
      <c r="X75" s="160">
        <f t="shared" si="46"/>
        <v>1.0000017302536321</v>
      </c>
      <c r="Y75" s="160">
        <f t="shared" si="47"/>
        <v>-1.8602425310919697E-3</v>
      </c>
      <c r="Z75" s="98" t="str">
        <f t="shared" si="36"/>
        <v>0.999999971479664+0.000220899456042856i</v>
      </c>
      <c r="AA75" s="160">
        <f t="shared" si="48"/>
        <v>0.99999999587794941</v>
      </c>
      <c r="AB75" s="160">
        <f t="shared" si="49"/>
        <v>2.2089945874993747E-4</v>
      </c>
      <c r="AC75" s="171" t="e">
        <f t="shared" si="50"/>
        <v>#DIV/0!</v>
      </c>
      <c r="AD75" s="190" t="e">
        <f t="shared" si="51"/>
        <v>#DIV/0!</v>
      </c>
      <c r="AE75" s="169" t="e">
        <f t="shared" si="52"/>
        <v>#DIV/0!</v>
      </c>
      <c r="AF75" s="98" t="str">
        <f t="shared" si="37"/>
        <v>-0.0000182926829268293</v>
      </c>
      <c r="AG75" s="98" t="str">
        <f t="shared" si="38"/>
        <v>5.18709166687489E-06i</v>
      </c>
      <c r="AH75" s="98">
        <f t="shared" si="53"/>
        <v>5.1870916668748901E-6</v>
      </c>
      <c r="AI75" s="98">
        <f t="shared" si="54"/>
        <v>1.5707963267948966</v>
      </c>
      <c r="AJ75" s="98" t="str">
        <f t="shared" si="39"/>
        <v>1+0.000508488546894902i</v>
      </c>
      <c r="AK75" s="98">
        <f t="shared" si="55"/>
        <v>1.0000001292802927</v>
      </c>
      <c r="AL75" s="98">
        <f t="shared" si="56"/>
        <v>5.0848850306987371E-4</v>
      </c>
      <c r="AM75" s="98" t="str">
        <f t="shared" si="40"/>
        <v>1+0.0513573432363851i</v>
      </c>
      <c r="AN75" s="98">
        <f t="shared" si="57"/>
        <v>1.0013179198957243</v>
      </c>
      <c r="AO75" s="98">
        <f t="shared" si="58"/>
        <v>5.1312261581330586E-2</v>
      </c>
      <c r="AP75" s="168" t="str">
        <f t="shared" si="59"/>
        <v>-0.179322401696534+3.52666910057516i</v>
      </c>
      <c r="AQ75" s="98">
        <f t="shared" si="60"/>
        <v>10.958508321336257</v>
      </c>
      <c r="AR75" s="169">
        <f t="shared" si="61"/>
        <v>92.910841780724695</v>
      </c>
      <c r="AS75" s="168" t="e">
        <f t="shared" si="62"/>
        <v>#DIV/0!</v>
      </c>
      <c r="AT75" s="190" t="e">
        <f t="shared" si="63"/>
        <v>#DIV/0!</v>
      </c>
      <c r="AU75" s="169" t="e">
        <f t="shared" si="64"/>
        <v>#DIV/0!</v>
      </c>
      <c r="AV75" s="225"/>
      <c r="AX75" t="e">
        <f t="shared" si="65"/>
        <v>#DIV/0!</v>
      </c>
      <c r="AY75" t="e">
        <f t="shared" si="66"/>
        <v>#DIV/0!</v>
      </c>
    </row>
    <row r="76" spans="1:51" x14ac:dyDescent="0.25">
      <c r="N76" s="170">
        <v>58</v>
      </c>
      <c r="O76" s="199">
        <f t="shared" si="41"/>
        <v>38.018939632056139</v>
      </c>
      <c r="P76" s="189" t="str">
        <f t="shared" si="32"/>
        <v>290</v>
      </c>
      <c r="Q76" s="160" t="e">
        <f t="shared" si="33"/>
        <v>#DIV/0!</v>
      </c>
      <c r="R76" s="160" t="e">
        <f t="shared" si="42"/>
        <v>#DIV/0!</v>
      </c>
      <c r="S76" s="160" t="e">
        <f t="shared" si="43"/>
        <v>#DIV/0!</v>
      </c>
      <c r="T76" s="160" t="e">
        <f t="shared" si="34"/>
        <v>#DIV/0!</v>
      </c>
      <c r="U76" s="160" t="e">
        <f t="shared" si="44"/>
        <v>#DIV/0!</v>
      </c>
      <c r="V76" s="160" t="e">
        <f t="shared" si="45"/>
        <v>#DIV/0!</v>
      </c>
      <c r="W76" s="98" t="str">
        <f t="shared" si="35"/>
        <v>1-0.00190357534178514i</v>
      </c>
      <c r="X76" s="160">
        <f t="shared" si="46"/>
        <v>1.0000018117978997</v>
      </c>
      <c r="Y76" s="160">
        <f t="shared" si="47"/>
        <v>-1.9035730425255187E-3</v>
      </c>
      <c r="Z76" s="98" t="str">
        <f t="shared" si="36"/>
        <v>0.999999970135542+0.000226044865367285i</v>
      </c>
      <c r="AA76" s="160">
        <f t="shared" si="48"/>
        <v>0.99999999568368303</v>
      </c>
      <c r="AB76" s="160">
        <f t="shared" si="49"/>
        <v>2.2604486826797505E-4</v>
      </c>
      <c r="AC76" s="171" t="e">
        <f t="shared" si="50"/>
        <v>#DIV/0!</v>
      </c>
      <c r="AD76" s="190" t="e">
        <f t="shared" si="51"/>
        <v>#DIV/0!</v>
      </c>
      <c r="AE76" s="169" t="e">
        <f t="shared" si="52"/>
        <v>#DIV/0!</v>
      </c>
      <c r="AF76" s="98" t="str">
        <f t="shared" si="37"/>
        <v>-0.0000182926829268293</v>
      </c>
      <c r="AG76" s="98" t="str">
        <f t="shared" si="38"/>
        <v>5.30791455303097E-06i</v>
      </c>
      <c r="AH76" s="98">
        <f t="shared" si="53"/>
        <v>5.3079145530309703E-6</v>
      </c>
      <c r="AI76" s="98">
        <f t="shared" si="54"/>
        <v>1.5707963267948966</v>
      </c>
      <c r="AJ76" s="98" t="str">
        <f t="shared" si="39"/>
        <v>1+0.000520332766692577i</v>
      </c>
      <c r="AK76" s="98">
        <f t="shared" si="55"/>
        <v>1.000000135373085</v>
      </c>
      <c r="AL76" s="98">
        <f t="shared" si="56"/>
        <v>5.2033271973321365E-4</v>
      </c>
      <c r="AM76" s="98" t="str">
        <f t="shared" si="40"/>
        <v>1+0.0525536094359502i</v>
      </c>
      <c r="AN76" s="98">
        <f t="shared" si="57"/>
        <v>1.0013799887479009</v>
      </c>
      <c r="AO76" s="98">
        <f t="shared" si="58"/>
        <v>5.2505307166874592E-2</v>
      </c>
      <c r="AP76" s="168" t="str">
        <f t="shared" si="59"/>
        <v>-0.179322399511386+3.44639651059691i</v>
      </c>
      <c r="AQ76" s="98">
        <f t="shared" si="60"/>
        <v>10.759046665342245</v>
      </c>
      <c r="AR76" s="169">
        <f t="shared" si="61"/>
        <v>92.978519633916619</v>
      </c>
      <c r="AS76" s="168" t="e">
        <f t="shared" si="62"/>
        <v>#DIV/0!</v>
      </c>
      <c r="AT76" s="190" t="e">
        <f t="shared" si="63"/>
        <v>#DIV/0!</v>
      </c>
      <c r="AU76" s="169" t="e">
        <f t="shared" si="64"/>
        <v>#DIV/0!</v>
      </c>
      <c r="AV76" s="225"/>
      <c r="AX76" t="e">
        <f t="shared" si="65"/>
        <v>#DIV/0!</v>
      </c>
      <c r="AY76" t="e">
        <f t="shared" si="66"/>
        <v>#DIV/0!</v>
      </c>
    </row>
    <row r="77" spans="1:51" x14ac:dyDescent="0.25">
      <c r="N77" s="170">
        <v>59</v>
      </c>
      <c r="O77" s="199">
        <f t="shared" si="41"/>
        <v>38.904514499428053</v>
      </c>
      <c r="P77" s="189" t="str">
        <f t="shared" si="32"/>
        <v>290</v>
      </c>
      <c r="Q77" s="160" t="e">
        <f t="shared" si="33"/>
        <v>#DIV/0!</v>
      </c>
      <c r="R77" s="160" t="e">
        <f t="shared" si="42"/>
        <v>#DIV/0!</v>
      </c>
      <c r="S77" s="160" t="e">
        <f t="shared" si="43"/>
        <v>#DIV/0!</v>
      </c>
      <c r="T77" s="160" t="e">
        <f t="shared" si="34"/>
        <v>#DIV/0!</v>
      </c>
      <c r="U77" s="160" t="e">
        <f t="shared" si="44"/>
        <v>#DIV/0!</v>
      </c>
      <c r="V77" s="160" t="e">
        <f t="shared" si="45"/>
        <v>#DIV/0!</v>
      </c>
      <c r="W77" s="98" t="str">
        <f t="shared" si="35"/>
        <v>1-0.00194791530752717i</v>
      </c>
      <c r="X77" s="160">
        <f t="shared" si="46"/>
        <v>1.0000018971852231</v>
      </c>
      <c r="Y77" s="160">
        <f t="shared" si="47"/>
        <v>-1.9479128438263504E-3</v>
      </c>
      <c r="Z77" s="98" t="str">
        <f t="shared" si="36"/>
        <v>0.999999968728073+0.000231310126671389i</v>
      </c>
      <c r="AA77" s="160">
        <f t="shared" si="48"/>
        <v>0.99999999548026075</v>
      </c>
      <c r="AB77" s="160">
        <f t="shared" si="49"/>
        <v>2.3131012977953446E-4</v>
      </c>
      <c r="AC77" s="171" t="e">
        <f t="shared" si="50"/>
        <v>#DIV/0!</v>
      </c>
      <c r="AD77" s="190" t="e">
        <f t="shared" si="51"/>
        <v>#DIV/0!</v>
      </c>
      <c r="AE77" s="169" t="e">
        <f t="shared" si="52"/>
        <v>#DIV/0!</v>
      </c>
      <c r="AF77" s="98" t="str">
        <f t="shared" si="37"/>
        <v>-0.0000182926829268293</v>
      </c>
      <c r="AG77" s="98" t="str">
        <f t="shared" si="38"/>
        <v>5.43155176574162E-06i</v>
      </c>
      <c r="AH77" s="98">
        <f t="shared" si="53"/>
        <v>5.4315517657416198E-6</v>
      </c>
      <c r="AI77" s="98">
        <f t="shared" si="54"/>
        <v>1.5707963267948966</v>
      </c>
      <c r="AJ77" s="98" t="str">
        <f t="shared" si="39"/>
        <v>1+0.000532452873810571i</v>
      </c>
      <c r="AK77" s="98">
        <f t="shared" si="55"/>
        <v>1.0000001417530213</v>
      </c>
      <c r="AL77" s="98">
        <f t="shared" si="56"/>
        <v>5.3245282349270696E-4</v>
      </c>
      <c r="AM77" s="98" t="str">
        <f t="shared" si="40"/>
        <v>1+0.0537777402548676i</v>
      </c>
      <c r="AN77" s="98">
        <f t="shared" si="57"/>
        <v>1.0014449786917503</v>
      </c>
      <c r="AO77" s="98">
        <f t="shared" si="58"/>
        <v>5.372598747357335E-2</v>
      </c>
      <c r="AP77" s="168" t="str">
        <f t="shared" si="59"/>
        <v>-0.179322397223255+3.3679512456669i</v>
      </c>
      <c r="AQ77" s="98">
        <f t="shared" si="60"/>
        <v>10.559610309190814</v>
      </c>
      <c r="AR77" s="169">
        <f t="shared" si="61"/>
        <v>93.04776503283253</v>
      </c>
      <c r="AS77" s="168" t="e">
        <f t="shared" si="62"/>
        <v>#DIV/0!</v>
      </c>
      <c r="AT77" s="190" t="e">
        <f t="shared" si="63"/>
        <v>#DIV/0!</v>
      </c>
      <c r="AU77" s="169" t="e">
        <f t="shared" si="64"/>
        <v>#DIV/0!</v>
      </c>
      <c r="AV77" s="225"/>
      <c r="AX77" t="e">
        <f t="shared" si="65"/>
        <v>#DIV/0!</v>
      </c>
      <c r="AY77" t="e">
        <f t="shared" si="66"/>
        <v>#DIV/0!</v>
      </c>
    </row>
    <row r="78" spans="1:51" x14ac:dyDescent="0.25">
      <c r="N78" s="170">
        <v>60</v>
      </c>
      <c r="O78" s="199">
        <f t="shared" si="41"/>
        <v>39.810717055349755</v>
      </c>
      <c r="P78" s="189" t="str">
        <f t="shared" si="32"/>
        <v>290</v>
      </c>
      <c r="Q78" s="160" t="e">
        <f t="shared" si="33"/>
        <v>#DIV/0!</v>
      </c>
      <c r="R78" s="160" t="e">
        <f t="shared" si="42"/>
        <v>#DIV/0!</v>
      </c>
      <c r="S78" s="160" t="e">
        <f t="shared" si="43"/>
        <v>#DIV/0!</v>
      </c>
      <c r="T78" s="160" t="e">
        <f t="shared" si="34"/>
        <v>#DIV/0!</v>
      </c>
      <c r="U78" s="160" t="e">
        <f t="shared" si="44"/>
        <v>#DIV/0!</v>
      </c>
      <c r="V78" s="160" t="e">
        <f t="shared" si="45"/>
        <v>#DIV/0!</v>
      </c>
      <c r="W78" s="98" t="str">
        <f t="shared" si="35"/>
        <v>1-0.00199328808374896i</v>
      </c>
      <c r="X78" s="160">
        <f t="shared" si="46"/>
        <v>1.0000019865967191</v>
      </c>
      <c r="Y78" s="160">
        <f t="shared" si="47"/>
        <v>-1.9932854438462532E-3</v>
      </c>
      <c r="Z78" s="98" t="str">
        <f t="shared" si="36"/>
        <v>0.999999967254273+0.000236698031666406i</v>
      </c>
      <c r="AA78" s="160">
        <f t="shared" si="48"/>
        <v>0.99999999526725269</v>
      </c>
      <c r="AB78" s="160">
        <f t="shared" si="49"/>
        <v>2.3669803499684375E-4</v>
      </c>
      <c r="AC78" s="171" t="e">
        <f t="shared" si="50"/>
        <v>#DIV/0!</v>
      </c>
      <c r="AD78" s="190" t="e">
        <f t="shared" si="51"/>
        <v>#DIV/0!</v>
      </c>
      <c r="AE78" s="169" t="e">
        <f t="shared" si="52"/>
        <v>#DIV/0!</v>
      </c>
      <c r="AF78" s="98" t="str">
        <f t="shared" si="37"/>
        <v>-0.0000182926829268293</v>
      </c>
      <c r="AG78" s="98" t="str">
        <f t="shared" si="38"/>
        <v>5.55806885909356E-06i</v>
      </c>
      <c r="AH78" s="98">
        <f t="shared" si="53"/>
        <v>5.5580688590935599E-6</v>
      </c>
      <c r="AI78" s="98">
        <f t="shared" si="54"/>
        <v>1.5707963267948966</v>
      </c>
      <c r="AJ78" s="98" t="str">
        <f t="shared" si="39"/>
        <v>1+0.000544855294490105i</v>
      </c>
      <c r="AK78" s="98">
        <f t="shared" si="55"/>
        <v>1.0000001484336349</v>
      </c>
      <c r="AL78" s="98">
        <f t="shared" si="56"/>
        <v>5.4485524057354265E-4</v>
      </c>
      <c r="AM78" s="98" t="str">
        <f t="shared" si="40"/>
        <v>1+0.0550303847435005i</v>
      </c>
      <c r="AN78" s="98">
        <f t="shared" si="57"/>
        <v>1.0015130269971617</v>
      </c>
      <c r="AO78" s="98">
        <f t="shared" si="58"/>
        <v>5.4974935162932476E-2</v>
      </c>
      <c r="AP78" s="168" t="str">
        <f t="shared" si="59"/>
        <v>-0.179322394827288+3.29129171306735i</v>
      </c>
      <c r="AQ78" s="98">
        <f t="shared" si="60"/>
        <v>10.360200438346325</v>
      </c>
      <c r="AR78" s="169">
        <f t="shared" si="61"/>
        <v>93.118613858110919</v>
      </c>
      <c r="AS78" s="168" t="e">
        <f t="shared" si="62"/>
        <v>#DIV/0!</v>
      </c>
      <c r="AT78" s="190" t="e">
        <f t="shared" si="63"/>
        <v>#DIV/0!</v>
      </c>
      <c r="AU78" s="169" t="e">
        <f t="shared" si="64"/>
        <v>#DIV/0!</v>
      </c>
      <c r="AV78" s="225"/>
      <c r="AX78" t="e">
        <f t="shared" si="65"/>
        <v>#DIV/0!</v>
      </c>
      <c r="AY78" t="e">
        <f t="shared" si="66"/>
        <v>#DIV/0!</v>
      </c>
    </row>
    <row r="79" spans="1:51" x14ac:dyDescent="0.25">
      <c r="N79" s="170">
        <v>61</v>
      </c>
      <c r="O79" s="199">
        <f t="shared" si="41"/>
        <v>40.738027780411279</v>
      </c>
      <c r="P79" s="189" t="str">
        <f t="shared" si="32"/>
        <v>290</v>
      </c>
      <c r="Q79" s="160" t="e">
        <f t="shared" si="33"/>
        <v>#DIV/0!</v>
      </c>
      <c r="R79" s="160" t="e">
        <f t="shared" si="42"/>
        <v>#DIV/0!</v>
      </c>
      <c r="S79" s="160" t="e">
        <f t="shared" si="43"/>
        <v>#DIV/0!</v>
      </c>
      <c r="T79" s="160" t="e">
        <f t="shared" si="34"/>
        <v>#DIV/0!</v>
      </c>
      <c r="U79" s="160" t="e">
        <f t="shared" si="44"/>
        <v>#DIV/0!</v>
      </c>
      <c r="V79" s="160" t="e">
        <f t="shared" si="45"/>
        <v>#DIV/0!</v>
      </c>
      <c r="W79" s="98" t="str">
        <f t="shared" si="35"/>
        <v>1-0.00203971772769705i</v>
      </c>
      <c r="X79" s="160">
        <f t="shared" si="46"/>
        <v>1.0000020802220406</v>
      </c>
      <c r="Y79" s="160">
        <f t="shared" si="47"/>
        <v>-2.0397148989906534E-3</v>
      </c>
      <c r="Z79" s="98" t="str">
        <f t="shared" si="36"/>
        <v>0.999999965711014+0.000242211437090881i</v>
      </c>
      <c r="AA79" s="160">
        <f t="shared" si="48"/>
        <v>0.99999999504420467</v>
      </c>
      <c r="AB79" s="160">
        <f t="shared" si="49"/>
        <v>2.4221144065950944E-4</v>
      </c>
      <c r="AC79" s="171" t="e">
        <f t="shared" si="50"/>
        <v>#DIV/0!</v>
      </c>
      <c r="AD79" s="190" t="e">
        <f t="shared" si="51"/>
        <v>#DIV/0!</v>
      </c>
      <c r="AE79" s="169" t="e">
        <f t="shared" si="52"/>
        <v>#DIV/0!</v>
      </c>
      <c r="AF79" s="98" t="str">
        <f t="shared" si="37"/>
        <v>-0.0000182926829268293</v>
      </c>
      <c r="AG79" s="98" t="str">
        <f t="shared" si="38"/>
        <v>5.68753291412433E-06i</v>
      </c>
      <c r="AH79" s="98">
        <f t="shared" si="53"/>
        <v>5.68753291412433E-6</v>
      </c>
      <c r="AI79" s="98">
        <f t="shared" si="54"/>
        <v>1.5707963267948966</v>
      </c>
      <c r="AJ79" s="98" t="str">
        <f t="shared" si="39"/>
        <v>1+0.000557546604658791i</v>
      </c>
      <c r="AK79" s="98">
        <f t="shared" si="55"/>
        <v>1.000000155429096</v>
      </c>
      <c r="AL79" s="98">
        <f t="shared" si="56"/>
        <v>5.5754654688615411E-4</v>
      </c>
      <c r="AM79" s="98" t="str">
        <f t="shared" si="40"/>
        <v>1+0.0563122070705378i</v>
      </c>
      <c r="AN79" s="98">
        <f t="shared" si="57"/>
        <v>1.0015842773651926</v>
      </c>
      <c r="AO79" s="98">
        <f t="shared" si="58"/>
        <v>5.6252796849145102E-2</v>
      </c>
      <c r="AP79" s="168" t="str">
        <f t="shared" si="59"/>
        <v>-0.179322392318403+3.21637726689934i</v>
      </c>
      <c r="AQ79" s="98">
        <f t="shared" si="60"/>
        <v>10.160818293481382</v>
      </c>
      <c r="AR79" s="169">
        <f t="shared" si="61"/>
        <v>93.191102781244155</v>
      </c>
      <c r="AS79" s="168" t="e">
        <f t="shared" si="62"/>
        <v>#DIV/0!</v>
      </c>
      <c r="AT79" s="190" t="e">
        <f t="shared" si="63"/>
        <v>#DIV/0!</v>
      </c>
      <c r="AU79" s="169" t="e">
        <f t="shared" si="64"/>
        <v>#DIV/0!</v>
      </c>
      <c r="AV79" s="225"/>
      <c r="AX79" t="e">
        <f t="shared" si="65"/>
        <v>#DIV/0!</v>
      </c>
      <c r="AY79" t="e">
        <f t="shared" si="66"/>
        <v>#DIV/0!</v>
      </c>
    </row>
    <row r="80" spans="1:51" x14ac:dyDescent="0.25">
      <c r="N80" s="170">
        <v>62</v>
      </c>
      <c r="O80" s="199">
        <f t="shared" si="41"/>
        <v>41.686938347033561</v>
      </c>
      <c r="P80" s="189" t="str">
        <f t="shared" si="32"/>
        <v>290</v>
      </c>
      <c r="Q80" s="160" t="e">
        <f t="shared" si="33"/>
        <v>#DIV/0!</v>
      </c>
      <c r="R80" s="160" t="e">
        <f t="shared" si="42"/>
        <v>#DIV/0!</v>
      </c>
      <c r="S80" s="160" t="e">
        <f t="shared" si="43"/>
        <v>#DIV/0!</v>
      </c>
      <c r="T80" s="160" t="e">
        <f t="shared" si="34"/>
        <v>#DIV/0!</v>
      </c>
      <c r="U80" s="160" t="e">
        <f t="shared" si="44"/>
        <v>#DIV/0!</v>
      </c>
      <c r="V80" s="160" t="e">
        <f t="shared" si="45"/>
        <v>#DIV/0!</v>
      </c>
      <c r="W80" s="98" t="str">
        <f t="shared" si="35"/>
        <v>1-0.00208722885698321i</v>
      </c>
      <c r="X80" s="160">
        <f t="shared" si="46"/>
        <v>1.0000021782597783</v>
      </c>
      <c r="Y80" s="160">
        <f t="shared" si="47"/>
        <v>-2.0872258259700535E-3</v>
      </c>
      <c r="Z80" s="98" t="str">
        <f t="shared" si="36"/>
        <v>0.999999964095024+0.00024785326622535i</v>
      </c>
      <c r="AA80" s="160">
        <f t="shared" si="48"/>
        <v>0.99999999481064539</v>
      </c>
      <c r="AB80" s="160">
        <f t="shared" si="49"/>
        <v>2.4785327004920427E-4</v>
      </c>
      <c r="AC80" s="171" t="e">
        <f t="shared" si="50"/>
        <v>#DIV/0!</v>
      </c>
      <c r="AD80" s="190" t="e">
        <f t="shared" si="51"/>
        <v>#DIV/0!</v>
      </c>
      <c r="AE80" s="169" t="e">
        <f t="shared" si="52"/>
        <v>#DIV/0!</v>
      </c>
      <c r="AF80" s="98" t="str">
        <f t="shared" si="37"/>
        <v>-0.0000182926829268293</v>
      </c>
      <c r="AG80" s="98" t="str">
        <f t="shared" si="38"/>
        <v>5.82001257438956E-06i</v>
      </c>
      <c r="AH80" s="98">
        <f t="shared" si="53"/>
        <v>5.82001257438956E-6</v>
      </c>
      <c r="AI80" s="98">
        <f t="shared" si="54"/>
        <v>1.5707963267948966</v>
      </c>
      <c r="AJ80" s="98" t="str">
        <f t="shared" si="39"/>
        <v>1+0.00057053353341727i</v>
      </c>
      <c r="AK80" s="98">
        <f t="shared" si="55"/>
        <v>1.0000001627542432</v>
      </c>
      <c r="AL80" s="98">
        <f t="shared" si="56"/>
        <v>5.7053347151277481E-4</v>
      </c>
      <c r="AM80" s="98" t="str">
        <f t="shared" si="40"/>
        <v>1+0.0576238868751442i</v>
      </c>
      <c r="AN80" s="98">
        <f t="shared" si="57"/>
        <v>1.0016588802274951</v>
      </c>
      <c r="AO80" s="98">
        <f t="shared" si="58"/>
        <v>5.7560233368663359E-2</v>
      </c>
      <c r="AP80" s="168" t="str">
        <f t="shared" si="59"/>
        <v>-0.179322389691278+3.1431681865319i</v>
      </c>
      <c r="AQ80" s="98">
        <f t="shared" si="60"/>
        <v>9.9614651730156254</v>
      </c>
      <c r="AR80" s="169">
        <f t="shared" si="61"/>
        <v>93.265269279823869</v>
      </c>
      <c r="AS80" s="168" t="e">
        <f t="shared" si="62"/>
        <v>#DIV/0!</v>
      </c>
      <c r="AT80" s="190" t="e">
        <f t="shared" si="63"/>
        <v>#DIV/0!</v>
      </c>
      <c r="AU80" s="169" t="e">
        <f t="shared" si="64"/>
        <v>#DIV/0!</v>
      </c>
      <c r="AV80" s="225"/>
      <c r="AX80" t="e">
        <f t="shared" si="65"/>
        <v>#DIV/0!</v>
      </c>
      <c r="AY80" t="e">
        <f t="shared" si="66"/>
        <v>#DIV/0!</v>
      </c>
    </row>
    <row r="81" spans="14:51" x14ac:dyDescent="0.25">
      <c r="N81" s="170">
        <v>63</v>
      </c>
      <c r="O81" s="199">
        <f t="shared" si="41"/>
        <v>42.657951880159267</v>
      </c>
      <c r="P81" s="189" t="str">
        <f t="shared" si="32"/>
        <v>290</v>
      </c>
      <c r="Q81" s="160" t="e">
        <f t="shared" si="33"/>
        <v>#DIV/0!</v>
      </c>
      <c r="R81" s="160" t="e">
        <f t="shared" si="42"/>
        <v>#DIV/0!</v>
      </c>
      <c r="S81" s="160" t="e">
        <f t="shared" si="43"/>
        <v>#DIV/0!</v>
      </c>
      <c r="T81" s="160" t="e">
        <f t="shared" si="34"/>
        <v>#DIV/0!</v>
      </c>
      <c r="U81" s="160" t="e">
        <f t="shared" si="44"/>
        <v>#DIV/0!</v>
      </c>
      <c r="V81" s="160" t="e">
        <f t="shared" si="45"/>
        <v>#DIV/0!</v>
      </c>
      <c r="W81" s="98" t="str">
        <f t="shared" si="35"/>
        <v>1-0.00213584666263709i</v>
      </c>
      <c r="X81" s="160">
        <f t="shared" si="46"/>
        <v>1.0000022809178819</v>
      </c>
      <c r="Y81" s="160">
        <f t="shared" si="47"/>
        <v>-2.1358434148483784E-3</v>
      </c>
      <c r="Z81" s="98" t="str">
        <f t="shared" si="36"/>
        <v>0.999999962402875+0.000253626510442296i</v>
      </c>
      <c r="AA81" s="160">
        <f t="shared" si="48"/>
        <v>0.99999999456607902</v>
      </c>
      <c r="AB81" s="160">
        <f t="shared" si="49"/>
        <v>2.5362651453962951E-4</v>
      </c>
      <c r="AC81" s="171" t="e">
        <f t="shared" si="50"/>
        <v>#DIV/0!</v>
      </c>
      <c r="AD81" s="190" t="e">
        <f t="shared" si="51"/>
        <v>#DIV/0!</v>
      </c>
      <c r="AE81" s="169" t="e">
        <f t="shared" si="52"/>
        <v>#DIV/0!</v>
      </c>
      <c r="AF81" s="98" t="str">
        <f t="shared" si="37"/>
        <v>-0.0000182926829268293</v>
      </c>
      <c r="AG81" s="98" t="str">
        <f t="shared" si="38"/>
        <v>5.95557808235871E-06i</v>
      </c>
      <c r="AH81" s="98">
        <f t="shared" si="53"/>
        <v>5.9555780823587101E-6</v>
      </c>
      <c r="AI81" s="98">
        <f t="shared" si="54"/>
        <v>1.5707963267948966</v>
      </c>
      <c r="AJ81" s="98" t="str">
        <f t="shared" si="39"/>
        <v>1+0.00058382296660707i</v>
      </c>
      <c r="AK81" s="98">
        <f t="shared" si="55"/>
        <v>1.0000001704246138</v>
      </c>
      <c r="AL81" s="98">
        <f t="shared" si="56"/>
        <v>5.8382290027520888E-4</v>
      </c>
      <c r="AM81" s="98" t="str">
        <f t="shared" si="40"/>
        <v>1+0.058966119627314i</v>
      </c>
      <c r="AN81" s="98">
        <f t="shared" si="57"/>
        <v>1.001736993059507</v>
      </c>
      <c r="AO81" s="98">
        <f t="shared" si="58"/>
        <v>5.8897920052162905E-2</v>
      </c>
      <c r="AP81" s="168" t="str">
        <f t="shared" si="59"/>
        <v>-0.17932238694034+3.07162565554155i</v>
      </c>
      <c r="AQ81" s="98">
        <f t="shared" si="60"/>
        <v>9.762142435767764</v>
      </c>
      <c r="AR81" s="169">
        <f t="shared" si="61"/>
        <v>93.341151652919024</v>
      </c>
      <c r="AS81" s="168" t="e">
        <f t="shared" si="62"/>
        <v>#DIV/0!</v>
      </c>
      <c r="AT81" s="190" t="e">
        <f t="shared" si="63"/>
        <v>#DIV/0!</v>
      </c>
      <c r="AU81" s="169" t="e">
        <f t="shared" si="64"/>
        <v>#DIV/0!</v>
      </c>
      <c r="AV81" s="225"/>
      <c r="AX81" t="e">
        <f t="shared" si="65"/>
        <v>#DIV/0!</v>
      </c>
      <c r="AY81" t="e">
        <f t="shared" si="66"/>
        <v>#DIV/0!</v>
      </c>
    </row>
    <row r="82" spans="14:51" x14ac:dyDescent="0.25">
      <c r="N82" s="170">
        <v>64</v>
      </c>
      <c r="O82" s="199">
        <f t="shared" si="41"/>
        <v>43.651583224016633</v>
      </c>
      <c r="P82" s="189" t="str">
        <f t="shared" si="32"/>
        <v>290</v>
      </c>
      <c r="Q82" s="160" t="e">
        <f t="shared" si="33"/>
        <v>#DIV/0!</v>
      </c>
      <c r="R82" s="160" t="e">
        <f t="shared" si="42"/>
        <v>#DIV/0!</v>
      </c>
      <c r="S82" s="160" t="e">
        <f t="shared" si="43"/>
        <v>#DIV/0!</v>
      </c>
      <c r="T82" s="160" t="e">
        <f t="shared" si="34"/>
        <v>#DIV/0!</v>
      </c>
      <c r="U82" s="160" t="e">
        <f t="shared" si="44"/>
        <v>#DIV/0!</v>
      </c>
      <c r="V82" s="160" t="e">
        <f t="shared" si="45"/>
        <v>#DIV/0!</v>
      </c>
      <c r="W82" s="98" t="str">
        <f t="shared" si="35"/>
        <v>1-0.00218559692246277i</v>
      </c>
      <c r="X82" s="160">
        <f t="shared" si="46"/>
        <v>1.0000023884141016</v>
      </c>
      <c r="Y82" s="160">
        <f t="shared" si="47"/>
        <v>-2.185593442394915E-3</v>
      </c>
      <c r="Z82" s="98" t="str">
        <f t="shared" si="36"/>
        <v>0.999999960630977+0.000259534230792223i</v>
      </c>
      <c r="AA82" s="160">
        <f t="shared" si="48"/>
        <v>0.9999999943099861</v>
      </c>
      <c r="AB82" s="160">
        <f t="shared" si="49"/>
        <v>2.5953423518259504E-4</v>
      </c>
      <c r="AC82" s="171" t="e">
        <f t="shared" si="50"/>
        <v>#DIV/0!</v>
      </c>
      <c r="AD82" s="190" t="e">
        <f t="shared" si="51"/>
        <v>#DIV/0!</v>
      </c>
      <c r="AE82" s="169" t="e">
        <f t="shared" si="52"/>
        <v>#DIV/0!</v>
      </c>
      <c r="AF82" s="98" t="str">
        <f t="shared" si="37"/>
        <v>-0.0000182926829268293</v>
      </c>
      <c r="AG82" s="98" t="str">
        <f t="shared" si="38"/>
        <v>6.09430131665852E-06i</v>
      </c>
      <c r="AH82" s="98">
        <f t="shared" si="53"/>
        <v>6.0943013166585202E-6</v>
      </c>
      <c r="AI82" s="98">
        <f t="shared" si="54"/>
        <v>1.5707963267948966</v>
      </c>
      <c r="AJ82" s="98" t="str">
        <f t="shared" si="39"/>
        <v>1+0.000597421950461574i</v>
      </c>
      <c r="AK82" s="98">
        <f t="shared" si="55"/>
        <v>1.0000001784564776</v>
      </c>
      <c r="AL82" s="98">
        <f t="shared" si="56"/>
        <v>5.9742187938570499E-4</v>
      </c>
      <c r="AM82" s="98" t="str">
        <f t="shared" si="40"/>
        <v>1+0.0603396169966189i</v>
      </c>
      <c r="AN82" s="98">
        <f t="shared" si="57"/>
        <v>1.0018187807080174</v>
      </c>
      <c r="AO82" s="98">
        <f t="shared" si="58"/>
        <v>6.0266546998686797E-2</v>
      </c>
      <c r="AP82" s="168" t="str">
        <f t="shared" si="59"/>
        <v>-0.179322384059754+3.00171174113141i</v>
      </c>
      <c r="AQ82" s="98">
        <f t="shared" si="60"/>
        <v>9.5628515037263835</v>
      </c>
      <c r="AR82" s="169">
        <f t="shared" si="61"/>
        <v>93.418789036573983</v>
      </c>
      <c r="AS82" s="168" t="e">
        <f t="shared" si="62"/>
        <v>#DIV/0!</v>
      </c>
      <c r="AT82" s="190" t="e">
        <f t="shared" si="63"/>
        <v>#DIV/0!</v>
      </c>
      <c r="AU82" s="169" t="e">
        <f t="shared" si="64"/>
        <v>#DIV/0!</v>
      </c>
      <c r="AV82" s="225"/>
      <c r="AX82" t="e">
        <f t="shared" si="65"/>
        <v>#DIV/0!</v>
      </c>
      <c r="AY82" t="e">
        <f t="shared" si="66"/>
        <v>#DIV/0!</v>
      </c>
    </row>
    <row r="83" spans="14:51" x14ac:dyDescent="0.25">
      <c r="N83" s="170">
        <v>65</v>
      </c>
      <c r="O83" s="199">
        <f t="shared" si="41"/>
        <v>44.668359215096324</v>
      </c>
      <c r="P83" s="189" t="str">
        <f t="shared" ref="P83:P146" si="67">COMPLEX(Adc,0)</f>
        <v>290</v>
      </c>
      <c r="Q83" s="160" t="e">
        <f t="shared" ref="Q83:Q146" si="68">IMSUM(COMPLEX(1,0),IMDIV(COMPLEX(0,2*PI()*O83),COMPLEX(wp_lf,0)))</f>
        <v>#DIV/0!</v>
      </c>
      <c r="R83" s="160" t="e">
        <f t="shared" si="42"/>
        <v>#DIV/0!</v>
      </c>
      <c r="S83" s="160" t="e">
        <f t="shared" si="43"/>
        <v>#DIV/0!</v>
      </c>
      <c r="T83" s="160" t="e">
        <f t="shared" ref="T83:T146" si="69">IMSUM(COMPLEX(1,0),IMDIV(COMPLEX(0,2*PI()*O83),COMPLEX(wz_esr,0)))</f>
        <v>#DIV/0!</v>
      </c>
      <c r="U83" s="160" t="e">
        <f t="shared" si="44"/>
        <v>#DIV/0!</v>
      </c>
      <c r="V83" s="160" t="e">
        <f t="shared" si="45"/>
        <v>#DIV/0!</v>
      </c>
      <c r="W83" s="98" t="str">
        <f t="shared" ref="W83:W146" si="70">IMSUB(COMPLEX(1,0),IMDIV(COMPLEX(0,2*PI()*O83),COMPLEX(wz_rhp,0)))</f>
        <v>1-0.00223650601470653i</v>
      </c>
      <c r="X83" s="160">
        <f t="shared" si="46"/>
        <v>1.0000025009764495</v>
      </c>
      <c r="Y83" s="160">
        <f t="shared" si="47"/>
        <v>-2.2365022857471434E-3</v>
      </c>
      <c r="Z83" s="98" t="str">
        <f t="shared" ref="Z83:Z146" si="71">IF(Dc_Mode_Loop="CCM",IMSUM(COMPLEX(1,0),IMDIV(COMPLEX(0,2*PI()*O83),COMPLEX(Q*(wsl/2),0)),IMDIV(IMPOWER(COMPLEX(0,2*PI()*O83),2),IMPOWER(COMPLEX(wsl/2,0),2))),COMPLEX(1,0))</f>
        <v>0.999999958775572+0.000265579559626658i</v>
      </c>
      <c r="AA83" s="160">
        <f t="shared" si="48"/>
        <v>0.99999999404182405</v>
      </c>
      <c r="AB83" s="160">
        <f t="shared" si="49"/>
        <v>2.6557956433102635E-4</v>
      </c>
      <c r="AC83" s="171" t="e">
        <f t="shared" si="50"/>
        <v>#DIV/0!</v>
      </c>
      <c r="AD83" s="190" t="e">
        <f t="shared" si="51"/>
        <v>#DIV/0!</v>
      </c>
      <c r="AE83" s="169" t="e">
        <f t="shared" si="52"/>
        <v>#DIV/0!</v>
      </c>
      <c r="AF83" s="98" t="str">
        <f t="shared" ref="AF83:AF146" si="72">COMPLEX(Adc_ea,0)</f>
        <v>-0.0000182926829268293</v>
      </c>
      <c r="AG83" s="98" t="str">
        <f t="shared" ref="AG83:AG146" si="73">COMPLEX(0,2*PI()*O83*wp0_ea)</f>
        <v>6.23625583018403E-06i</v>
      </c>
      <c r="AH83" s="98">
        <f t="shared" si="53"/>
        <v>6.2362558301840297E-6</v>
      </c>
      <c r="AI83" s="98">
        <f t="shared" si="54"/>
        <v>1.5707963267948966</v>
      </c>
      <c r="AJ83" s="98" t="str">
        <f t="shared" ref="AJ83:AJ146" si="74">IMSUM(COMPLEX(1,0),IMDIV(COMPLEX(0,2*PI()*O83),COMPLEX(wp1_ea,0)))</f>
        <v>1+0.000611337695342029i</v>
      </c>
      <c r="AK83" s="98">
        <f t="shared" si="55"/>
        <v>1.0000001868668713</v>
      </c>
      <c r="AL83" s="98">
        <f t="shared" si="56"/>
        <v>6.1133761918286394E-4</v>
      </c>
      <c r="AM83" s="98" t="str">
        <f t="shared" ref="AM83:AM146" si="75">IMSUM(COMPLEX(1,0),IMDIV(COMPLEX(0,2*PI()*O83),COMPLEX(wz_ea,0)))</f>
        <v>1+0.0617451072295448i</v>
      </c>
      <c r="AN83" s="98">
        <f t="shared" si="57"/>
        <v>1.0019044157337504</v>
      </c>
      <c r="AO83" s="98">
        <f t="shared" si="58"/>
        <v>6.1666819351732113E-2</v>
      </c>
      <c r="AP83" s="168" t="str">
        <f t="shared" si="59"/>
        <v>-0.179322381043411+2.93338937401859i</v>
      </c>
      <c r="AQ83" s="98">
        <f t="shared" si="60"/>
        <v>9.363593864943434</v>
      </c>
      <c r="AR83" s="169">
        <f t="shared" si="61"/>
        <v>93.49822141941317</v>
      </c>
      <c r="AS83" s="168" t="e">
        <f t="shared" si="62"/>
        <v>#DIV/0!</v>
      </c>
      <c r="AT83" s="190" t="e">
        <f t="shared" si="63"/>
        <v>#DIV/0!</v>
      </c>
      <c r="AU83" s="169" t="e">
        <f t="shared" si="64"/>
        <v>#DIV/0!</v>
      </c>
      <c r="AV83" s="225"/>
      <c r="AX83" t="e">
        <f t="shared" si="65"/>
        <v>#DIV/0!</v>
      </c>
      <c r="AY83" t="e">
        <f t="shared" si="66"/>
        <v>#DIV/0!</v>
      </c>
    </row>
    <row r="84" spans="14:51" x14ac:dyDescent="0.25">
      <c r="N84" s="170">
        <v>66</v>
      </c>
      <c r="O84" s="199">
        <f t="shared" ref="O84:O118" si="76">10^(1+(N84/100))</f>
        <v>45.70881896148753</v>
      </c>
      <c r="P84" s="189" t="str">
        <f t="shared" si="67"/>
        <v>290</v>
      </c>
      <c r="Q84" s="160" t="e">
        <f t="shared" si="68"/>
        <v>#DIV/0!</v>
      </c>
      <c r="R84" s="160" t="e">
        <f t="shared" ref="R84:R147" si="77">IMABS(Q84)</f>
        <v>#DIV/0!</v>
      </c>
      <c r="S84" s="160" t="e">
        <f t="shared" ref="S84:S147" si="78">IMARGUMENT(Q84)</f>
        <v>#DIV/0!</v>
      </c>
      <c r="T84" s="160" t="e">
        <f t="shared" si="69"/>
        <v>#DIV/0!</v>
      </c>
      <c r="U84" s="160" t="e">
        <f t="shared" ref="U84:U147" si="79">IMABS(T84)</f>
        <v>#DIV/0!</v>
      </c>
      <c r="V84" s="160" t="e">
        <f t="shared" ref="V84:V147" si="80">IMARGUMENT(T84)</f>
        <v>#DIV/0!</v>
      </c>
      <c r="W84" s="98" t="str">
        <f t="shared" si="70"/>
        <v>1-0.00228860093204295i</v>
      </c>
      <c r="X84" s="160">
        <f t="shared" ref="X84:X147" si="81">IMABS(W84)</f>
        <v>1.0000026188436839</v>
      </c>
      <c r="Y84" s="160">
        <f t="shared" ref="Y84:Y147" si="82">IMARGUMENT(W84)</f>
        <v>-2.2885969363915445E-3</v>
      </c>
      <c r="Z84" s="98" t="str">
        <f t="shared" si="71"/>
        <v>0.999999956832725+0.000271765702258968i</v>
      </c>
      <c r="AA84" s="160">
        <f t="shared" ref="AA84:AA147" si="83">IMABS(Z84)</f>
        <v>0.99999999376102433</v>
      </c>
      <c r="AB84" s="160">
        <f t="shared" ref="AB84:AB147" si="84">IMARGUMENT(Z84)</f>
        <v>2.7176570729978936E-4</v>
      </c>
      <c r="AC84" s="171" t="e">
        <f t="shared" ref="AC84:AC147" si="85">(IMDIV(IMPRODUCT(P84,T84,W84),IMPRODUCT(Q84,Z84)))</f>
        <v>#DIV/0!</v>
      </c>
      <c r="AD84" s="190" t="e">
        <f t="shared" ref="AD84:AD147" si="86">20*LOG(IMABS(AC84))</f>
        <v>#DIV/0!</v>
      </c>
      <c r="AE84" s="169" t="e">
        <f t="shared" ref="AE84:AE147" si="87">(180/PI())*IMARGUMENT(AC84)</f>
        <v>#DIV/0!</v>
      </c>
      <c r="AF84" s="98" t="str">
        <f t="shared" si="72"/>
        <v>-0.0000182926829268293</v>
      </c>
      <c r="AG84" s="98" t="str">
        <f t="shared" si="73"/>
        <v>6.38151688909732E-06i</v>
      </c>
      <c r="AH84" s="98">
        <f t="shared" ref="AH84:AH147" si="88">IMABS(AG84)</f>
        <v>6.3815168890973202E-6</v>
      </c>
      <c r="AI84" s="98">
        <f t="shared" ref="AI84:AI147" si="89">IMARGUMENT(AG84)</f>
        <v>1.5707963267948966</v>
      </c>
      <c r="AJ84" s="98" t="str">
        <f t="shared" si="74"/>
        <v>1+0.000625577579560564i</v>
      </c>
      <c r="AK84" s="98">
        <f t="shared" ref="AK84:AK147" si="90">IMABS(AJ84)</f>
        <v>1.0000001956736349</v>
      </c>
      <c r="AL84" s="98">
        <f t="shared" ref="AL84:AL147" si="91">IMARGUMENT(AJ84)</f>
        <v>6.2557749795454933E-4</v>
      </c>
      <c r="AM84" s="98" t="str">
        <f t="shared" si="75"/>
        <v>1+0.0631833355356169i</v>
      </c>
      <c r="AN84" s="98">
        <f t="shared" ref="AN84:AN147" si="92">IMABS(AM84)</f>
        <v>1.0019940787696335</v>
      </c>
      <c r="AO84" s="98">
        <f t="shared" ref="AO84:AO147" si="93">IMARGUMENT(AM84)</f>
        <v>6.3099457577017792E-2</v>
      </c>
      <c r="AP84" s="168" t="str">
        <f t="shared" ref="AP84:AP147" si="94">IMPRODUCT(AF84,IMDIV(AM84,IMPRODUCT(AG84,AJ84)))</f>
        <v>-0.179322377884912+2.86662232877971i</v>
      </c>
      <c r="AQ84" s="98">
        <f t="shared" ref="AQ84:AQ147" si="95">20*LOG(IMABS(AP84))</f>
        <v>9.1643710765569892</v>
      </c>
      <c r="AR84" s="169">
        <f t="shared" ref="AR84:AR147" si="96">(180/PI())*IMARGUMENT(AP84)</f>
        <v>93.579489658336755</v>
      </c>
      <c r="AS84" s="168" t="e">
        <f t="shared" ref="AS84:AS147" si="97">IMPRODUCT(AC84,AP84)</f>
        <v>#DIV/0!</v>
      </c>
      <c r="AT84" s="190" t="e">
        <f t="shared" ref="AT84:AT147" si="98">20*LOG(IMABS(AS84))</f>
        <v>#DIV/0!</v>
      </c>
      <c r="AU84" s="169" t="e">
        <f t="shared" ref="AU84:AU147" si="99">(180/PI())*IMARGUMENT(AS84)</f>
        <v>#DIV/0!</v>
      </c>
      <c r="AV84" s="225"/>
      <c r="AX84" t="e">
        <f t="shared" ref="AX84:AX147" si="100">SUM((AT85&lt;0)*(AT84&gt;0))*O84</f>
        <v>#DIV/0!</v>
      </c>
      <c r="AY84" t="e">
        <f t="shared" ref="AY84:AY147" si="101">IF(AX84&gt;0,AU84,0)</f>
        <v>#DIV/0!</v>
      </c>
    </row>
    <row r="85" spans="14:51" x14ac:dyDescent="0.25">
      <c r="N85" s="170">
        <v>67</v>
      </c>
      <c r="O85" s="199">
        <f t="shared" si="76"/>
        <v>46.773514128719818</v>
      </c>
      <c r="P85" s="189" t="str">
        <f t="shared" si="67"/>
        <v>290</v>
      </c>
      <c r="Q85" s="160" t="e">
        <f t="shared" si="68"/>
        <v>#DIV/0!</v>
      </c>
      <c r="R85" s="160" t="e">
        <f t="shared" si="77"/>
        <v>#DIV/0!</v>
      </c>
      <c r="S85" s="160" t="e">
        <f t="shared" si="78"/>
        <v>#DIV/0!</v>
      </c>
      <c r="T85" s="160" t="e">
        <f t="shared" si="69"/>
        <v>#DIV/0!</v>
      </c>
      <c r="U85" s="160" t="e">
        <f t="shared" si="79"/>
        <v>#DIV/0!</v>
      </c>
      <c r="V85" s="160" t="e">
        <f t="shared" si="80"/>
        <v>#DIV/0!</v>
      </c>
      <c r="W85" s="98" t="str">
        <f t="shared" si="70"/>
        <v>1-0.00234190929588675i</v>
      </c>
      <c r="X85" s="160">
        <f t="shared" si="81"/>
        <v>1.0000027422658151</v>
      </c>
      <c r="Y85" s="160">
        <f t="shared" si="82"/>
        <v>-2.3419050144697657E-3</v>
      </c>
      <c r="Z85" s="98" t="str">
        <f t="shared" si="71"/>
        <v>0.999999954798314+0.000278095938663859i</v>
      </c>
      <c r="AA85" s="160">
        <f t="shared" si="83"/>
        <v>0.99999999346699053</v>
      </c>
      <c r="AB85" s="160">
        <f t="shared" si="84"/>
        <v>2.7809594406519647E-4</v>
      </c>
      <c r="AC85" s="171" t="e">
        <f t="shared" si="85"/>
        <v>#DIV/0!</v>
      </c>
      <c r="AD85" s="190" t="e">
        <f t="shared" si="86"/>
        <v>#DIV/0!</v>
      </c>
      <c r="AE85" s="169" t="e">
        <f t="shared" si="87"/>
        <v>#DIV/0!</v>
      </c>
      <c r="AF85" s="98" t="str">
        <f t="shared" si="72"/>
        <v>-0.0000182926829268293</v>
      </c>
      <c r="AG85" s="98" t="str">
        <f t="shared" si="73"/>
        <v>6.53016151273456E-06i</v>
      </c>
      <c r="AH85" s="98">
        <f t="shared" si="88"/>
        <v>6.5301615127345604E-6</v>
      </c>
      <c r="AI85" s="98">
        <f t="shared" si="89"/>
        <v>1.5707963267948966</v>
      </c>
      <c r="AJ85" s="98" t="str">
        <f t="shared" si="74"/>
        <v>1+0.000640149153292281i</v>
      </c>
      <c r="AK85" s="98">
        <f t="shared" si="90"/>
        <v>1.0000002048954482</v>
      </c>
      <c r="AL85" s="98">
        <f t="shared" si="91"/>
        <v>6.4014906584986171E-4</v>
      </c>
      <c r="AM85" s="98" t="str">
        <f t="shared" si="75"/>
        <v>1+0.0646550644825203i</v>
      </c>
      <c r="AN85" s="98">
        <f t="shared" si="92"/>
        <v>1.002087958895445</v>
      </c>
      <c r="AO85" s="98">
        <f t="shared" si="93"/>
        <v>6.4565197741648664E-2</v>
      </c>
      <c r="AP85" s="168" t="str">
        <f t="shared" si="94"/>
        <v>-0.179322374577558+2.80137520464359i</v>
      </c>
      <c r="AQ85" s="98">
        <f t="shared" si="95"/>
        <v>8.9651847679470169</v>
      </c>
      <c r="AR85" s="169">
        <f t="shared" si="96"/>
        <v>93.662635494291635</v>
      </c>
      <c r="AS85" s="168" t="e">
        <f t="shared" si="97"/>
        <v>#DIV/0!</v>
      </c>
      <c r="AT85" s="190" t="e">
        <f t="shared" si="98"/>
        <v>#DIV/0!</v>
      </c>
      <c r="AU85" s="169" t="e">
        <f t="shared" si="99"/>
        <v>#DIV/0!</v>
      </c>
      <c r="AV85" s="225"/>
      <c r="AX85" t="e">
        <f t="shared" si="100"/>
        <v>#DIV/0!</v>
      </c>
      <c r="AY85" t="e">
        <f t="shared" si="101"/>
        <v>#DIV/0!</v>
      </c>
    </row>
    <row r="86" spans="14:51" x14ac:dyDescent="0.25">
      <c r="N86" s="170">
        <v>68</v>
      </c>
      <c r="O86" s="199">
        <f t="shared" si="76"/>
        <v>47.863009232263877</v>
      </c>
      <c r="P86" s="189" t="str">
        <f t="shared" si="67"/>
        <v>290</v>
      </c>
      <c r="Q86" s="160" t="e">
        <f t="shared" si="68"/>
        <v>#DIV/0!</v>
      </c>
      <c r="R86" s="160" t="e">
        <f t="shared" si="77"/>
        <v>#DIV/0!</v>
      </c>
      <c r="S86" s="160" t="e">
        <f t="shared" si="78"/>
        <v>#DIV/0!</v>
      </c>
      <c r="T86" s="160" t="e">
        <f t="shared" si="69"/>
        <v>#DIV/0!</v>
      </c>
      <c r="U86" s="160" t="e">
        <f t="shared" si="79"/>
        <v>#DIV/0!</v>
      </c>
      <c r="V86" s="160" t="e">
        <f t="shared" si="80"/>
        <v>#DIV/0!</v>
      </c>
      <c r="W86" s="98" t="str">
        <f t="shared" si="70"/>
        <v>1-0.00239645937103807i</v>
      </c>
      <c r="X86" s="160">
        <f t="shared" si="81"/>
        <v>1.0000028715046358</v>
      </c>
      <c r="Y86" s="160">
        <f t="shared" si="82"/>
        <v>-2.3964547834178294E-3</v>
      </c>
      <c r="Z86" s="98" t="str">
        <f t="shared" si="71"/>
        <v>0.999999952668024+0.000284573625216466i</v>
      </c>
      <c r="AA86" s="160">
        <f t="shared" si="83"/>
        <v>0.99999999315909927</v>
      </c>
      <c r="AB86" s="160">
        <f t="shared" si="84"/>
        <v>2.8457363100410345E-4</v>
      </c>
      <c r="AC86" s="171" t="e">
        <f t="shared" si="85"/>
        <v>#DIV/0!</v>
      </c>
      <c r="AD86" s="190" t="e">
        <f t="shared" si="86"/>
        <v>#DIV/0!</v>
      </c>
      <c r="AE86" s="169" t="e">
        <f t="shared" si="87"/>
        <v>#DIV/0!</v>
      </c>
      <c r="AF86" s="98" t="str">
        <f t="shared" si="72"/>
        <v>-0.0000182926829268293</v>
      </c>
      <c r="AG86" s="98" t="str">
        <f t="shared" si="73"/>
        <v>6.68226851444277E-06i</v>
      </c>
      <c r="AH86" s="98">
        <f t="shared" si="88"/>
        <v>6.6822685144427698E-6</v>
      </c>
      <c r="AI86" s="98">
        <f t="shared" si="89"/>
        <v>1.5707963267948966</v>
      </c>
      <c r="AJ86" s="98" t="str">
        <f t="shared" si="74"/>
        <v>1+0.00065506014257845i</v>
      </c>
      <c r="AK86" s="98">
        <f t="shared" si="90"/>
        <v>1.0000002145518723</v>
      </c>
      <c r="AL86" s="98">
        <f t="shared" si="91"/>
        <v>6.5506004888221073E-4</v>
      </c>
      <c r="AM86" s="98" t="str">
        <f t="shared" si="75"/>
        <v>1+0.0661610744004234i</v>
      </c>
      <c r="AN86" s="98">
        <f t="shared" si="92"/>
        <v>1.0021862540295683</v>
      </c>
      <c r="AO86" s="98">
        <f t="shared" si="93"/>
        <v>6.6064791794357883E-2</v>
      </c>
      <c r="AP86" s="168" t="str">
        <f t="shared" si="94"/>
        <v>-0.179322371114333+2.73761340672136i</v>
      </c>
      <c r="AQ86" s="98">
        <f t="shared" si="95"/>
        <v>8.7660366440309154</v>
      </c>
      <c r="AR86" s="169">
        <f t="shared" si="96"/>
        <v>93.747701568098634</v>
      </c>
      <c r="AS86" s="168" t="e">
        <f t="shared" si="97"/>
        <v>#DIV/0!</v>
      </c>
      <c r="AT86" s="190" t="e">
        <f t="shared" si="98"/>
        <v>#DIV/0!</v>
      </c>
      <c r="AU86" s="169" t="e">
        <f t="shared" si="99"/>
        <v>#DIV/0!</v>
      </c>
      <c r="AV86" s="225"/>
      <c r="AX86" t="e">
        <f t="shared" si="100"/>
        <v>#DIV/0!</v>
      </c>
      <c r="AY86" t="e">
        <f t="shared" si="101"/>
        <v>#DIV/0!</v>
      </c>
    </row>
    <row r="87" spans="14:51" x14ac:dyDescent="0.25">
      <c r="N87" s="170">
        <v>69</v>
      </c>
      <c r="O87" s="199">
        <f t="shared" si="76"/>
        <v>48.977881936844632</v>
      </c>
      <c r="P87" s="189" t="str">
        <f t="shared" si="67"/>
        <v>290</v>
      </c>
      <c r="Q87" s="160" t="e">
        <f t="shared" si="68"/>
        <v>#DIV/0!</v>
      </c>
      <c r="R87" s="160" t="e">
        <f t="shared" si="77"/>
        <v>#DIV/0!</v>
      </c>
      <c r="S87" s="160" t="e">
        <f t="shared" si="78"/>
        <v>#DIV/0!</v>
      </c>
      <c r="T87" s="160" t="e">
        <f t="shared" si="69"/>
        <v>#DIV/0!</v>
      </c>
      <c r="U87" s="160" t="e">
        <f t="shared" si="79"/>
        <v>#DIV/0!</v>
      </c>
      <c r="V87" s="160" t="e">
        <f t="shared" si="80"/>
        <v>#DIV/0!</v>
      </c>
      <c r="W87" s="98" t="str">
        <f t="shared" si="70"/>
        <v>1-0.00245228008066881i</v>
      </c>
      <c r="X87" s="160">
        <f t="shared" si="81"/>
        <v>1.0000030068342765</v>
      </c>
      <c r="Y87" s="160">
        <f t="shared" si="82"/>
        <v>-2.4522751649459552E-3</v>
      </c>
      <c r="Z87" s="98" t="str">
        <f t="shared" si="71"/>
        <v>0.999999950437336+0.000291202196471939i</v>
      </c>
      <c r="AA87" s="160">
        <f t="shared" si="83"/>
        <v>0.99999999283669683</v>
      </c>
      <c r="AB87" s="160">
        <f t="shared" si="84"/>
        <v>2.9120220267350445E-4</v>
      </c>
      <c r="AC87" s="171" t="e">
        <f t="shared" si="85"/>
        <v>#DIV/0!</v>
      </c>
      <c r="AD87" s="190" t="e">
        <f t="shared" si="86"/>
        <v>#DIV/0!</v>
      </c>
      <c r="AE87" s="169" t="e">
        <f t="shared" si="87"/>
        <v>#DIV/0!</v>
      </c>
      <c r="AF87" s="98" t="str">
        <f t="shared" si="72"/>
        <v>-0.0000182926829268293</v>
      </c>
      <c r="AG87" s="98" t="str">
        <f t="shared" si="73"/>
        <v>6.83791854336761E-06i</v>
      </c>
      <c r="AH87" s="98">
        <f t="shared" si="88"/>
        <v>6.83791854336761E-6</v>
      </c>
      <c r="AI87" s="98">
        <f t="shared" si="89"/>
        <v>1.5707963267948966</v>
      </c>
      <c r="AJ87" s="98" t="str">
        <f t="shared" si="74"/>
        <v>1+0.00067031845342296i</v>
      </c>
      <c r="AK87" s="98">
        <f t="shared" si="90"/>
        <v>1.0000002246633892</v>
      </c>
      <c r="AL87" s="98">
        <f t="shared" si="91"/>
        <v>6.703183530256321E-4</v>
      </c>
      <c r="AM87" s="98" t="str">
        <f t="shared" si="75"/>
        <v>1+0.0677021637957189i</v>
      </c>
      <c r="AN87" s="98">
        <f t="shared" si="92"/>
        <v>1.0022891713386024</v>
      </c>
      <c r="AO87" s="98">
        <f t="shared" si="93"/>
        <v>6.7599007846481332E-2</v>
      </c>
      <c r="AP87" s="168" t="str">
        <f t="shared" si="94"/>
        <v>-0.179322367487891+2.67530312766376i</v>
      </c>
      <c r="AQ87" s="98">
        <f t="shared" si="95"/>
        <v>8.5669284887036632</v>
      </c>
      <c r="AR87" s="169">
        <f t="shared" si="96"/>
        <v>93.834731436316559</v>
      </c>
      <c r="AS87" s="168" t="e">
        <f t="shared" si="97"/>
        <v>#DIV/0!</v>
      </c>
      <c r="AT87" s="190" t="e">
        <f t="shared" si="98"/>
        <v>#DIV/0!</v>
      </c>
      <c r="AU87" s="169" t="e">
        <f t="shared" si="99"/>
        <v>#DIV/0!</v>
      </c>
      <c r="AV87" s="225"/>
      <c r="AX87" t="e">
        <f t="shared" si="100"/>
        <v>#DIV/0!</v>
      </c>
      <c r="AY87" t="e">
        <f t="shared" si="101"/>
        <v>#DIV/0!</v>
      </c>
    </row>
    <row r="88" spans="14:51" x14ac:dyDescent="0.25">
      <c r="N88" s="170">
        <v>70</v>
      </c>
      <c r="O88" s="199">
        <f t="shared" si="76"/>
        <v>50.118723362727238</v>
      </c>
      <c r="P88" s="189" t="str">
        <f t="shared" si="67"/>
        <v>290</v>
      </c>
      <c r="Q88" s="160" t="e">
        <f t="shared" si="68"/>
        <v>#DIV/0!</v>
      </c>
      <c r="R88" s="160" t="e">
        <f t="shared" si="77"/>
        <v>#DIV/0!</v>
      </c>
      <c r="S88" s="160" t="e">
        <f t="shared" si="78"/>
        <v>#DIV/0!</v>
      </c>
      <c r="T88" s="160" t="e">
        <f t="shared" si="69"/>
        <v>#DIV/0!</v>
      </c>
      <c r="U88" s="160" t="e">
        <f t="shared" si="79"/>
        <v>#DIV/0!</v>
      </c>
      <c r="V88" s="160" t="e">
        <f t="shared" si="80"/>
        <v>#DIV/0!</v>
      </c>
      <c r="W88" s="98" t="str">
        <f t="shared" si="70"/>
        <v>1-0.00250940102165807i</v>
      </c>
      <c r="X88" s="160">
        <f t="shared" si="81"/>
        <v>1.0000031485417871</v>
      </c>
      <c r="Y88" s="160">
        <f t="shared" si="82"/>
        <v>-2.5093957543670274E-3</v>
      </c>
      <c r="Z88" s="98" t="str">
        <f t="shared" si="71"/>
        <v>0.99999994810152+0.000297985166986499i</v>
      </c>
      <c r="AA88" s="160">
        <f t="shared" si="83"/>
        <v>0.99999999249910132</v>
      </c>
      <c r="AB88" s="160">
        <f t="shared" si="84"/>
        <v>2.9798517363159599E-4</v>
      </c>
      <c r="AC88" s="171" t="e">
        <f t="shared" si="85"/>
        <v>#DIV/0!</v>
      </c>
      <c r="AD88" s="190" t="e">
        <f t="shared" si="86"/>
        <v>#DIV/0!</v>
      </c>
      <c r="AE88" s="169" t="e">
        <f t="shared" si="87"/>
        <v>#DIV/0!</v>
      </c>
      <c r="AF88" s="98" t="str">
        <f t="shared" si="72"/>
        <v>-0.0000182926829268293</v>
      </c>
      <c r="AG88" s="98" t="str">
        <f t="shared" si="73"/>
        <v>0.0000069971941272147i</v>
      </c>
      <c r="AH88" s="98">
        <f t="shared" si="88"/>
        <v>6.9971941272147001E-6</v>
      </c>
      <c r="AI88" s="98">
        <f t="shared" si="89"/>
        <v>1.5707963267948966</v>
      </c>
      <c r="AJ88" s="98" t="str">
        <f t="shared" si="74"/>
        <v>1+0.000685932175984188i</v>
      </c>
      <c r="AK88" s="98">
        <f t="shared" si="90"/>
        <v>1.0000002352514474</v>
      </c>
      <c r="AL88" s="98">
        <f t="shared" si="91"/>
        <v>6.8593206840651428E-4</v>
      </c>
      <c r="AM88" s="98" t="str">
        <f t="shared" si="75"/>
        <v>1+0.0692791497744029i</v>
      </c>
      <c r="AN88" s="98">
        <f t="shared" si="92"/>
        <v>1.0023969276656148</v>
      </c>
      <c r="AO88" s="98">
        <f t="shared" si="93"/>
        <v>6.9168630453286584E-2</v>
      </c>
      <c r="AP88" s="168" t="str">
        <f t="shared" si="94"/>
        <v>-0.179322363690541+2.61441132973603i</v>
      </c>
      <c r="AQ88" s="98">
        <f t="shared" si="95"/>
        <v>8.3678621684287986</v>
      </c>
      <c r="AR88" s="169">
        <f t="shared" si="96"/>
        <v>93.923769587121001</v>
      </c>
      <c r="AS88" s="168" t="e">
        <f t="shared" si="97"/>
        <v>#DIV/0!</v>
      </c>
      <c r="AT88" s="190" t="e">
        <f t="shared" si="98"/>
        <v>#DIV/0!</v>
      </c>
      <c r="AU88" s="169" t="e">
        <f t="shared" si="99"/>
        <v>#DIV/0!</v>
      </c>
      <c r="AV88" s="225"/>
      <c r="AX88" t="e">
        <f t="shared" si="100"/>
        <v>#DIV/0!</v>
      </c>
      <c r="AY88" t="e">
        <f t="shared" si="101"/>
        <v>#DIV/0!</v>
      </c>
    </row>
    <row r="89" spans="14:51" x14ac:dyDescent="0.25">
      <c r="N89" s="170">
        <v>71</v>
      </c>
      <c r="O89" s="199">
        <f t="shared" si="76"/>
        <v>51.28613839913649</v>
      </c>
      <c r="P89" s="189" t="str">
        <f t="shared" si="67"/>
        <v>290</v>
      </c>
      <c r="Q89" s="160" t="e">
        <f t="shared" si="68"/>
        <v>#DIV/0!</v>
      </c>
      <c r="R89" s="160" t="e">
        <f t="shared" si="77"/>
        <v>#DIV/0!</v>
      </c>
      <c r="S89" s="160" t="e">
        <f t="shared" si="78"/>
        <v>#DIV/0!</v>
      </c>
      <c r="T89" s="160" t="e">
        <f t="shared" si="69"/>
        <v>#DIV/0!</v>
      </c>
      <c r="U89" s="160" t="e">
        <f t="shared" si="79"/>
        <v>#DIV/0!</v>
      </c>
      <c r="V89" s="160" t="e">
        <f t="shared" si="80"/>
        <v>#DIV/0!</v>
      </c>
      <c r="W89" s="98" t="str">
        <f t="shared" si="70"/>
        <v>1-0.00256785248028486i</v>
      </c>
      <c r="X89" s="160">
        <f t="shared" si="81"/>
        <v>1.0000032969277455</v>
      </c>
      <c r="Y89" s="160">
        <f t="shared" si="82"/>
        <v>-2.5678468362818267E-3</v>
      </c>
      <c r="Z89" s="98" t="str">
        <f t="shared" si="71"/>
        <v>0.99999994565562+0.000304926133180894i</v>
      </c>
      <c r="AA89" s="160">
        <f t="shared" si="83"/>
        <v>0.99999999214559487</v>
      </c>
      <c r="AB89" s="160">
        <f t="shared" si="84"/>
        <v>3.0492614030124367E-4</v>
      </c>
      <c r="AC89" s="171" t="e">
        <f t="shared" si="85"/>
        <v>#DIV/0!</v>
      </c>
      <c r="AD89" s="190" t="e">
        <f t="shared" si="86"/>
        <v>#DIV/0!</v>
      </c>
      <c r="AE89" s="169" t="e">
        <f t="shared" si="87"/>
        <v>#DIV/0!</v>
      </c>
      <c r="AF89" s="98" t="str">
        <f t="shared" si="72"/>
        <v>-0.0000182926829268293</v>
      </c>
      <c r="AG89" s="98" t="str">
        <f t="shared" si="73"/>
        <v>7.16017971600685E-06i</v>
      </c>
      <c r="AH89" s="98">
        <f t="shared" si="88"/>
        <v>7.1601797160068501E-6</v>
      </c>
      <c r="AI89" s="98">
        <f t="shared" si="89"/>
        <v>1.5707963267948966</v>
      </c>
      <c r="AJ89" s="98" t="str">
        <f t="shared" si="74"/>
        <v>1+0.000701909588864508i</v>
      </c>
      <c r="AK89" s="98">
        <f t="shared" si="90"/>
        <v>1.0000002463385051</v>
      </c>
      <c r="AL89" s="98">
        <f t="shared" si="91"/>
        <v>7.0190947359295524E-4</v>
      </c>
      <c r="AM89" s="98" t="str">
        <f t="shared" si="75"/>
        <v>1+0.0708928684753152i</v>
      </c>
      <c r="AN89" s="98">
        <f t="shared" si="92"/>
        <v>1.0025097499778535</v>
      </c>
      <c r="AO89" s="98">
        <f t="shared" si="93"/>
        <v>7.0774460895240671E-2</v>
      </c>
      <c r="AP89" s="168" t="str">
        <f t="shared" si="94"/>
        <v>-0.179322359714227+2.55490572730091i</v>
      </c>
      <c r="AQ89" s="98">
        <f t="shared" si="95"/>
        <v>8.1688396359863411</v>
      </c>
      <c r="AR89" s="169">
        <f t="shared" si="96"/>
        <v>94.014861456173861</v>
      </c>
      <c r="AS89" s="168" t="e">
        <f t="shared" si="97"/>
        <v>#DIV/0!</v>
      </c>
      <c r="AT89" s="190" t="e">
        <f t="shared" si="98"/>
        <v>#DIV/0!</v>
      </c>
      <c r="AU89" s="169" t="e">
        <f t="shared" si="99"/>
        <v>#DIV/0!</v>
      </c>
      <c r="AV89" s="225"/>
      <c r="AX89" t="e">
        <f t="shared" si="100"/>
        <v>#DIV/0!</v>
      </c>
      <c r="AY89" t="e">
        <f t="shared" si="101"/>
        <v>#DIV/0!</v>
      </c>
    </row>
    <row r="90" spans="14:51" x14ac:dyDescent="0.25">
      <c r="N90" s="170">
        <v>72</v>
      </c>
      <c r="O90" s="199">
        <f t="shared" si="76"/>
        <v>52.480746024977286</v>
      </c>
      <c r="P90" s="189" t="str">
        <f t="shared" si="67"/>
        <v>290</v>
      </c>
      <c r="Q90" s="160" t="e">
        <f t="shared" si="68"/>
        <v>#DIV/0!</v>
      </c>
      <c r="R90" s="160" t="e">
        <f t="shared" si="77"/>
        <v>#DIV/0!</v>
      </c>
      <c r="S90" s="160" t="e">
        <f t="shared" si="78"/>
        <v>#DIV/0!</v>
      </c>
      <c r="T90" s="160" t="e">
        <f t="shared" si="69"/>
        <v>#DIV/0!</v>
      </c>
      <c r="U90" s="160" t="e">
        <f t="shared" si="79"/>
        <v>#DIV/0!</v>
      </c>
      <c r="V90" s="160" t="e">
        <f t="shared" si="80"/>
        <v>#DIV/0!</v>
      </c>
      <c r="W90" s="98" t="str">
        <f t="shared" si="70"/>
        <v>1-0.00262766544828626i</v>
      </c>
      <c r="X90" s="160">
        <f t="shared" si="81"/>
        <v>1.0000034523068948</v>
      </c>
      <c r="Y90" s="160">
        <f t="shared" si="82"/>
        <v>-2.6276594006291788E-3</v>
      </c>
      <c r="Z90" s="98" t="str">
        <f t="shared" si="71"/>
        <v>0.999999943094448+0.000312028775247278i</v>
      </c>
      <c r="AA90" s="160">
        <f t="shared" si="83"/>
        <v>0.99999999177542775</v>
      </c>
      <c r="AB90" s="160">
        <f t="shared" si="84"/>
        <v>3.1202878287687021E-4</v>
      </c>
      <c r="AC90" s="171" t="e">
        <f t="shared" si="85"/>
        <v>#DIV/0!</v>
      </c>
      <c r="AD90" s="190" t="e">
        <f t="shared" si="86"/>
        <v>#DIV/0!</v>
      </c>
      <c r="AE90" s="169" t="e">
        <f t="shared" si="87"/>
        <v>#DIV/0!</v>
      </c>
      <c r="AF90" s="98" t="str">
        <f t="shared" si="72"/>
        <v>-0.0000182926829268293</v>
      </c>
      <c r="AG90" s="98" t="str">
        <f t="shared" si="73"/>
        <v>7.32696172686061E-06i</v>
      </c>
      <c r="AH90" s="98">
        <f t="shared" si="88"/>
        <v>7.3269617268606098E-6</v>
      </c>
      <c r="AI90" s="98">
        <f t="shared" si="89"/>
        <v>1.5707963267948966</v>
      </c>
      <c r="AJ90" s="98" t="str">
        <f t="shared" si="74"/>
        <v>1+0.000718259163499717i</v>
      </c>
      <c r="AK90" s="98">
        <f t="shared" si="90"/>
        <v>1.0000002579480798</v>
      </c>
      <c r="AL90" s="98">
        <f t="shared" si="91"/>
        <v>7.1825903998402462E-4</v>
      </c>
      <c r="AM90" s="98" t="str">
        <f t="shared" si="75"/>
        <v>1+0.0725441755134714i</v>
      </c>
      <c r="AN90" s="98">
        <f t="shared" si="92"/>
        <v>1.0026278758347633</v>
      </c>
      <c r="AO90" s="98">
        <f t="shared" si="93"/>
        <v>7.2417317458766228E-2</v>
      </c>
      <c r="AP90" s="168" t="str">
        <f t="shared" si="94"/>
        <v>-0.179322355550516+2.49675476970032i</v>
      </c>
      <c r="AQ90" s="98">
        <f t="shared" si="95"/>
        <v>7.9698629343834266</v>
      </c>
      <c r="AR90" s="169">
        <f t="shared" si="96"/>
        <v>94.108053442458157</v>
      </c>
      <c r="AS90" s="168" t="e">
        <f t="shared" si="97"/>
        <v>#DIV/0!</v>
      </c>
      <c r="AT90" s="190" t="e">
        <f t="shared" si="98"/>
        <v>#DIV/0!</v>
      </c>
      <c r="AU90" s="169" t="e">
        <f t="shared" si="99"/>
        <v>#DIV/0!</v>
      </c>
      <c r="AV90" s="225"/>
      <c r="AX90" t="e">
        <f t="shared" si="100"/>
        <v>#DIV/0!</v>
      </c>
      <c r="AY90" t="e">
        <f t="shared" si="101"/>
        <v>#DIV/0!</v>
      </c>
    </row>
    <row r="91" spans="14:51" x14ac:dyDescent="0.25">
      <c r="N91" s="170">
        <v>73</v>
      </c>
      <c r="O91" s="199">
        <f t="shared" si="76"/>
        <v>53.703179637025293</v>
      </c>
      <c r="P91" s="189" t="str">
        <f t="shared" si="67"/>
        <v>290</v>
      </c>
      <c r="Q91" s="160" t="e">
        <f t="shared" si="68"/>
        <v>#DIV/0!</v>
      </c>
      <c r="R91" s="160" t="e">
        <f t="shared" si="77"/>
        <v>#DIV/0!</v>
      </c>
      <c r="S91" s="160" t="e">
        <f t="shared" si="78"/>
        <v>#DIV/0!</v>
      </c>
      <c r="T91" s="160" t="e">
        <f t="shared" si="69"/>
        <v>#DIV/0!</v>
      </c>
      <c r="U91" s="160" t="e">
        <f t="shared" si="79"/>
        <v>#DIV/0!</v>
      </c>
      <c r="V91" s="160" t="e">
        <f t="shared" si="80"/>
        <v>#DIV/0!</v>
      </c>
      <c r="W91" s="98" t="str">
        <f t="shared" si="70"/>
        <v>1-0.00268887163928959i</v>
      </c>
      <c r="X91" s="160">
        <f t="shared" si="81"/>
        <v>1.0000036150088121</v>
      </c>
      <c r="Y91" s="160">
        <f t="shared" si="82"/>
        <v>-2.6888651591095406E-3</v>
      </c>
      <c r="Z91" s="98" t="str">
        <f t="shared" si="71"/>
        <v>0.999999940412572+0.000319296859100485i</v>
      </c>
      <c r="AA91" s="160">
        <f t="shared" si="83"/>
        <v>0.99999999138781592</v>
      </c>
      <c r="AB91" s="160">
        <f t="shared" si="84"/>
        <v>3.1929686727574032E-4</v>
      </c>
      <c r="AC91" s="171" t="e">
        <f t="shared" si="85"/>
        <v>#DIV/0!</v>
      </c>
      <c r="AD91" s="190" t="e">
        <f t="shared" si="86"/>
        <v>#DIV/0!</v>
      </c>
      <c r="AE91" s="169" t="e">
        <f t="shared" si="87"/>
        <v>#DIV/0!</v>
      </c>
      <c r="AF91" s="98" t="str">
        <f t="shared" si="72"/>
        <v>-0.0000182926829268293</v>
      </c>
      <c r="AG91" s="98" t="str">
        <f t="shared" si="73"/>
        <v>7.49762858980575E-06i</v>
      </c>
      <c r="AH91" s="98">
        <f t="shared" si="88"/>
        <v>7.4976285898057497E-6</v>
      </c>
      <c r="AI91" s="98">
        <f t="shared" si="89"/>
        <v>1.5707963267948966</v>
      </c>
      <c r="AJ91" s="98" t="str">
        <f t="shared" si="74"/>
        <v>1+0.000734989568650696i</v>
      </c>
      <c r="AK91" s="98">
        <f t="shared" si="90"/>
        <v>1.0000002701047965</v>
      </c>
      <c r="AL91" s="98">
        <f t="shared" si="91"/>
        <v>7.3498943630124906E-4</v>
      </c>
      <c r="AM91" s="98" t="str">
        <f t="shared" si="75"/>
        <v>1+0.0742339464337202i</v>
      </c>
      <c r="AN91" s="98">
        <f t="shared" si="92"/>
        <v>1.0027515538771927</v>
      </c>
      <c r="AO91" s="98">
        <f t="shared" si="93"/>
        <v>7.4098035715992994E-2</v>
      </c>
      <c r="AP91" s="168" t="str">
        <f t="shared" si="94"/>
        <v>-0.179322351190574+2.4399276245268i</v>
      </c>
      <c r="AQ91" s="98">
        <f t="shared" si="95"/>
        <v>7.7709342009345477</v>
      </c>
      <c r="AR91" s="169">
        <f t="shared" si="96"/>
        <v>94.203392924049254</v>
      </c>
      <c r="AS91" s="168" t="e">
        <f t="shared" si="97"/>
        <v>#DIV/0!</v>
      </c>
      <c r="AT91" s="190" t="e">
        <f t="shared" si="98"/>
        <v>#DIV/0!</v>
      </c>
      <c r="AU91" s="169" t="e">
        <f t="shared" si="99"/>
        <v>#DIV/0!</v>
      </c>
      <c r="AV91" s="225"/>
      <c r="AX91" t="e">
        <f t="shared" si="100"/>
        <v>#DIV/0!</v>
      </c>
      <c r="AY91" t="e">
        <f t="shared" si="101"/>
        <v>#DIV/0!</v>
      </c>
    </row>
    <row r="92" spans="14:51" x14ac:dyDescent="0.25">
      <c r="N92" s="170">
        <v>74</v>
      </c>
      <c r="O92" s="199">
        <f t="shared" si="76"/>
        <v>54.95408738576247</v>
      </c>
      <c r="P92" s="189" t="str">
        <f t="shared" si="67"/>
        <v>290</v>
      </c>
      <c r="Q92" s="160" t="e">
        <f t="shared" si="68"/>
        <v>#DIV/0!</v>
      </c>
      <c r="R92" s="160" t="e">
        <f t="shared" si="77"/>
        <v>#DIV/0!</v>
      </c>
      <c r="S92" s="160" t="e">
        <f t="shared" si="78"/>
        <v>#DIV/0!</v>
      </c>
      <c r="T92" s="160" t="e">
        <f t="shared" si="69"/>
        <v>#DIV/0!</v>
      </c>
      <c r="U92" s="160" t="e">
        <f t="shared" si="79"/>
        <v>#DIV/0!</v>
      </c>
      <c r="V92" s="160" t="e">
        <f t="shared" si="80"/>
        <v>#DIV/0!</v>
      </c>
      <c r="W92" s="98" t="str">
        <f t="shared" si="70"/>
        <v>1-0.00275150350562751i</v>
      </c>
      <c r="X92" s="160">
        <f t="shared" si="81"/>
        <v>1.0000037853786061</v>
      </c>
      <c r="Y92" s="160">
        <f t="shared" si="82"/>
        <v>-2.7514965619909056E-3</v>
      </c>
      <c r="Z92" s="98" t="str">
        <f t="shared" si="71"/>
        <v>0.999999937604303+0.000326734238374782i</v>
      </c>
      <c r="AA92" s="160">
        <f t="shared" si="83"/>
        <v>0.99999999098193615</v>
      </c>
      <c r="AB92" s="160">
        <f t="shared" si="84"/>
        <v>3.2673424713472595E-4</v>
      </c>
      <c r="AC92" s="171" t="e">
        <f t="shared" si="85"/>
        <v>#DIV/0!</v>
      </c>
      <c r="AD92" s="190" t="e">
        <f t="shared" si="86"/>
        <v>#DIV/0!</v>
      </c>
      <c r="AE92" s="169" t="e">
        <f t="shared" si="87"/>
        <v>#DIV/0!</v>
      </c>
      <c r="AF92" s="98" t="str">
        <f t="shared" si="72"/>
        <v>-0.0000182926829268293</v>
      </c>
      <c r="AG92" s="98" t="str">
        <f t="shared" si="73"/>
        <v>7.67227079467206E-06i</v>
      </c>
      <c r="AH92" s="98">
        <f t="shared" si="88"/>
        <v>7.6722707946720596E-6</v>
      </c>
      <c r="AI92" s="98">
        <f t="shared" si="89"/>
        <v>1.5707963267948966</v>
      </c>
      <c r="AJ92" s="98" t="str">
        <f t="shared" si="74"/>
        <v>1+0.000752109674999712i</v>
      </c>
      <c r="AK92" s="98">
        <f t="shared" si="90"/>
        <v>1.0000002828344416</v>
      </c>
      <c r="AL92" s="98">
        <f t="shared" si="91"/>
        <v>7.5210953318472678E-4</v>
      </c>
      <c r="AM92" s="98" t="str">
        <f t="shared" si="75"/>
        <v>1+0.0759630771749708i</v>
      </c>
      <c r="AN92" s="98">
        <f t="shared" si="92"/>
        <v>1.0028810443387044</v>
      </c>
      <c r="AO92" s="98">
        <f t="shared" si="93"/>
        <v>7.5817468802974922E-2</v>
      </c>
      <c r="AP92" s="168" t="str">
        <f t="shared" si="94"/>
        <v>-0.179322346625156+2.38439416127576i</v>
      </c>
      <c r="AQ92" s="98">
        <f t="shared" si="95"/>
        <v>7.5720556715177265</v>
      </c>
      <c r="AR92" s="169">
        <f t="shared" si="96"/>
        <v>94.300928273792209</v>
      </c>
      <c r="AS92" s="168" t="e">
        <f t="shared" si="97"/>
        <v>#DIV/0!</v>
      </c>
      <c r="AT92" s="190" t="e">
        <f t="shared" si="98"/>
        <v>#DIV/0!</v>
      </c>
      <c r="AU92" s="169" t="e">
        <f t="shared" si="99"/>
        <v>#DIV/0!</v>
      </c>
      <c r="AV92" s="225"/>
      <c r="AX92" t="e">
        <f t="shared" si="100"/>
        <v>#DIV/0!</v>
      </c>
      <c r="AY92" t="e">
        <f t="shared" si="101"/>
        <v>#DIV/0!</v>
      </c>
    </row>
    <row r="93" spans="14:51" x14ac:dyDescent="0.25">
      <c r="N93" s="170">
        <v>75</v>
      </c>
      <c r="O93" s="199">
        <f t="shared" si="76"/>
        <v>56.234132519034915</v>
      </c>
      <c r="P93" s="189" t="str">
        <f t="shared" si="67"/>
        <v>290</v>
      </c>
      <c r="Q93" s="160" t="e">
        <f t="shared" si="68"/>
        <v>#DIV/0!</v>
      </c>
      <c r="R93" s="160" t="e">
        <f t="shared" si="77"/>
        <v>#DIV/0!</v>
      </c>
      <c r="S93" s="160" t="e">
        <f t="shared" si="78"/>
        <v>#DIV/0!</v>
      </c>
      <c r="T93" s="160" t="e">
        <f t="shared" si="69"/>
        <v>#DIV/0!</v>
      </c>
      <c r="U93" s="160" t="e">
        <f t="shared" si="79"/>
        <v>#DIV/0!</v>
      </c>
      <c r="V93" s="160" t="e">
        <f t="shared" si="80"/>
        <v>#DIV/0!</v>
      </c>
      <c r="W93" s="98" t="str">
        <f t="shared" si="70"/>
        <v>1-0.00281559425554455i</v>
      </c>
      <c r="X93" s="160">
        <f t="shared" si="81"/>
        <v>1.0000039637776501</v>
      </c>
      <c r="Y93" s="160">
        <f t="shared" si="82"/>
        <v>-2.815586815305473E-3</v>
      </c>
      <c r="Z93" s="98" t="str">
        <f t="shared" si="71"/>
        <v>0.999999934663685+0.000334344856467104i</v>
      </c>
      <c r="AA93" s="160">
        <f t="shared" si="83"/>
        <v>0.99999999055692845</v>
      </c>
      <c r="AB93" s="160">
        <f t="shared" si="84"/>
        <v>3.3434486585355279E-4</v>
      </c>
      <c r="AC93" s="171" t="e">
        <f t="shared" si="85"/>
        <v>#DIV/0!</v>
      </c>
      <c r="AD93" s="190" t="e">
        <f t="shared" si="86"/>
        <v>#DIV/0!</v>
      </c>
      <c r="AE93" s="169" t="e">
        <f t="shared" si="87"/>
        <v>#DIV/0!</v>
      </c>
      <c r="AF93" s="98" t="str">
        <f t="shared" si="72"/>
        <v>-0.0000182926829268293</v>
      </c>
      <c r="AG93" s="98" t="str">
        <f t="shared" si="73"/>
        <v>7.85098093906821E-06i</v>
      </c>
      <c r="AH93" s="98">
        <f t="shared" si="88"/>
        <v>7.8509809390682102E-6</v>
      </c>
      <c r="AI93" s="98">
        <f t="shared" si="89"/>
        <v>1.5707963267948966</v>
      </c>
      <c r="AJ93" s="98" t="str">
        <f t="shared" si="74"/>
        <v>1+0.000769628559853761i</v>
      </c>
      <c r="AK93" s="98">
        <f t="shared" si="90"/>
        <v>1.0000002961640162</v>
      </c>
      <c r="AL93" s="98">
        <f t="shared" si="91"/>
        <v>7.6962840789626891E-4</v>
      </c>
      <c r="AM93" s="98" t="str">
        <f t="shared" si="75"/>
        <v>1+0.0777324845452297i</v>
      </c>
      <c r="AN93" s="98">
        <f t="shared" si="92"/>
        <v>1.0030166195799421</v>
      </c>
      <c r="AO93" s="98">
        <f t="shared" si="93"/>
        <v>7.7576487695786525E-2</v>
      </c>
      <c r="AP93" s="168" t="str">
        <f t="shared" si="94"/>
        <v>-0.179322341844576+2.33012493536989i</v>
      </c>
      <c r="AQ93" s="98">
        <f t="shared" si="95"/>
        <v>7.37322968501344</v>
      </c>
      <c r="AR93" s="169">
        <f t="shared" si="96"/>
        <v>94.40070887485129</v>
      </c>
      <c r="AS93" s="168" t="e">
        <f t="shared" si="97"/>
        <v>#DIV/0!</v>
      </c>
      <c r="AT93" s="190" t="e">
        <f t="shared" si="98"/>
        <v>#DIV/0!</v>
      </c>
      <c r="AU93" s="169" t="e">
        <f t="shared" si="99"/>
        <v>#DIV/0!</v>
      </c>
      <c r="AV93" s="225"/>
      <c r="AX93" t="e">
        <f t="shared" si="100"/>
        <v>#DIV/0!</v>
      </c>
      <c r="AY93" t="e">
        <f t="shared" si="101"/>
        <v>#DIV/0!</v>
      </c>
    </row>
    <row r="94" spans="14:51" x14ac:dyDescent="0.25">
      <c r="N94" s="170">
        <v>76</v>
      </c>
      <c r="O94" s="199">
        <f t="shared" si="76"/>
        <v>57.543993733715695</v>
      </c>
      <c r="P94" s="189" t="str">
        <f t="shared" si="67"/>
        <v>290</v>
      </c>
      <c r="Q94" s="160" t="e">
        <f t="shared" si="68"/>
        <v>#DIV/0!</v>
      </c>
      <c r="R94" s="160" t="e">
        <f t="shared" si="77"/>
        <v>#DIV/0!</v>
      </c>
      <c r="S94" s="160" t="e">
        <f t="shared" si="78"/>
        <v>#DIV/0!</v>
      </c>
      <c r="T94" s="160" t="e">
        <f t="shared" si="69"/>
        <v>#DIV/0!</v>
      </c>
      <c r="U94" s="160" t="e">
        <f t="shared" si="79"/>
        <v>#DIV/0!</v>
      </c>
      <c r="V94" s="160" t="e">
        <f t="shared" si="80"/>
        <v>#DIV/0!</v>
      </c>
      <c r="W94" s="98" t="str">
        <f t="shared" si="70"/>
        <v>1-0.00288117787080469i</v>
      </c>
      <c r="X94" s="160">
        <f t="shared" si="81"/>
        <v>1.000004150584348</v>
      </c>
      <c r="Y94" s="160">
        <f t="shared" si="82"/>
        <v>-2.8811698984466702E-3</v>
      </c>
      <c r="Z94" s="98" t="str">
        <f t="shared" si="71"/>
        <v>0.999999931584479+0.000342132748627902i</v>
      </c>
      <c r="AA94" s="160">
        <f t="shared" si="83"/>
        <v>0.99999999011189011</v>
      </c>
      <c r="AB94" s="160">
        <f t="shared" si="84"/>
        <v>3.4213275868566321E-4</v>
      </c>
      <c r="AC94" s="171" t="e">
        <f t="shared" si="85"/>
        <v>#DIV/0!</v>
      </c>
      <c r="AD94" s="190" t="e">
        <f t="shared" si="86"/>
        <v>#DIV/0!</v>
      </c>
      <c r="AE94" s="169" t="e">
        <f t="shared" si="87"/>
        <v>#DIV/0!</v>
      </c>
      <c r="AF94" s="98" t="str">
        <f t="shared" si="72"/>
        <v>-0.0000182926829268293</v>
      </c>
      <c r="AG94" s="98" t="str">
        <f t="shared" si="73"/>
        <v>8.03385377747827E-06i</v>
      </c>
      <c r="AH94" s="98">
        <f t="shared" si="88"/>
        <v>8.0338537774782702E-6</v>
      </c>
      <c r="AI94" s="98">
        <f t="shared" si="89"/>
        <v>1.5707963267948966</v>
      </c>
      <c r="AJ94" s="98" t="str">
        <f t="shared" si="74"/>
        <v>1+0.000787555511957483i</v>
      </c>
      <c r="AK94" s="98">
        <f t="shared" si="90"/>
        <v>1.000000310121794</v>
      </c>
      <c r="AL94" s="98">
        <f t="shared" si="91"/>
        <v>7.8755534913209954E-4</v>
      </c>
      <c r="AM94" s="98" t="str">
        <f t="shared" si="75"/>
        <v>1+0.0795431067077057i</v>
      </c>
      <c r="AN94" s="98">
        <f t="shared" si="92"/>
        <v>1.003158564647042</v>
      </c>
      <c r="AO94" s="98">
        <f t="shared" si="93"/>
        <v>7.9375981483877187E-2</v>
      </c>
      <c r="AP94" s="168" t="str">
        <f t="shared" si="94"/>
        <v>-0.179322336838695+2.27709117254726i</v>
      </c>
      <c r="AQ94" s="98">
        <f t="shared" si="95"/>
        <v>7.1744586879332681</v>
      </c>
      <c r="AR94" s="169">
        <f t="shared" si="96"/>
        <v>94.502785136096506</v>
      </c>
      <c r="AS94" s="168" t="e">
        <f t="shared" si="97"/>
        <v>#DIV/0!</v>
      </c>
      <c r="AT94" s="190" t="e">
        <f t="shared" si="98"/>
        <v>#DIV/0!</v>
      </c>
      <c r="AU94" s="169" t="e">
        <f t="shared" si="99"/>
        <v>#DIV/0!</v>
      </c>
      <c r="AV94" s="225"/>
      <c r="AX94" t="e">
        <f t="shared" si="100"/>
        <v>#DIV/0!</v>
      </c>
      <c r="AY94" t="e">
        <f t="shared" si="101"/>
        <v>#DIV/0!</v>
      </c>
    </row>
    <row r="95" spans="14:51" x14ac:dyDescent="0.25">
      <c r="N95" s="170">
        <v>77</v>
      </c>
      <c r="O95" s="199">
        <f t="shared" si="76"/>
        <v>58.884365535558949</v>
      </c>
      <c r="P95" s="189" t="str">
        <f t="shared" si="67"/>
        <v>290</v>
      </c>
      <c r="Q95" s="160" t="e">
        <f t="shared" si="68"/>
        <v>#DIV/0!</v>
      </c>
      <c r="R95" s="160" t="e">
        <f t="shared" si="77"/>
        <v>#DIV/0!</v>
      </c>
      <c r="S95" s="160" t="e">
        <f t="shared" si="78"/>
        <v>#DIV/0!</v>
      </c>
      <c r="T95" s="160" t="e">
        <f t="shared" si="69"/>
        <v>#DIV/0!</v>
      </c>
      <c r="U95" s="160" t="e">
        <f t="shared" si="79"/>
        <v>#DIV/0!</v>
      </c>
      <c r="V95" s="160" t="e">
        <f t="shared" si="80"/>
        <v>#DIV/0!</v>
      </c>
      <c r="W95" s="98" t="str">
        <f t="shared" si="70"/>
        <v>1-0.00294828912470882i</v>
      </c>
      <c r="X95" s="160">
        <f t="shared" si="81"/>
        <v>1.0000043461949366</v>
      </c>
      <c r="Y95" s="160">
        <f t="shared" si="82"/>
        <v>-2.9482805821752986E-3</v>
      </c>
      <c r="Z95" s="98" t="str">
        <f t="shared" si="71"/>
        <v>0.999999928360155+0.000350102044100685i</v>
      </c>
      <c r="AA95" s="160">
        <f t="shared" si="83"/>
        <v>0.99999998964587822</v>
      </c>
      <c r="AB95" s="160">
        <f t="shared" si="84"/>
        <v>3.5010205487777016E-4</v>
      </c>
      <c r="AC95" s="171" t="e">
        <f t="shared" si="85"/>
        <v>#DIV/0!</v>
      </c>
      <c r="AD95" s="190" t="e">
        <f t="shared" si="86"/>
        <v>#DIV/0!</v>
      </c>
      <c r="AE95" s="169" t="e">
        <f t="shared" si="87"/>
        <v>#DIV/0!</v>
      </c>
      <c r="AF95" s="98" t="str">
        <f t="shared" si="72"/>
        <v>-0.0000182926829268293</v>
      </c>
      <c r="AG95" s="98" t="str">
        <f t="shared" si="73"/>
        <v>8.22098627150179E-06i</v>
      </c>
      <c r="AH95" s="98">
        <f t="shared" si="88"/>
        <v>8.2209862715017895E-6</v>
      </c>
      <c r="AI95" s="98">
        <f t="shared" si="89"/>
        <v>1.5707963267948966</v>
      </c>
      <c r="AJ95" s="98" t="str">
        <f t="shared" si="74"/>
        <v>1+0.000805900036418174i</v>
      </c>
      <c r="AK95" s="98">
        <f t="shared" si="90"/>
        <v>1.0000003247373817</v>
      </c>
      <c r="AL95" s="98">
        <f t="shared" si="91"/>
        <v>8.0589986194763523E-4</v>
      </c>
      <c r="AM95" s="98" t="str">
        <f t="shared" si="75"/>
        <v>1+0.0813959036782354i</v>
      </c>
      <c r="AN95" s="98">
        <f t="shared" si="92"/>
        <v>1.0033071778551157</v>
      </c>
      <c r="AO95" s="98">
        <f t="shared" si="93"/>
        <v>8.1216857639998141E-2</v>
      </c>
      <c r="AP95" s="168" t="str">
        <f t="shared" si="94"/>
        <v>-0.179322331596894+2.22526475360481i</v>
      </c>
      <c r="AQ95" s="98">
        <f t="shared" si="95"/>
        <v>6.9757452392452288</v>
      </c>
      <c r="AR95" s="169">
        <f t="shared" si="96"/>
        <v>94.607208507286941</v>
      </c>
      <c r="AS95" s="168" t="e">
        <f t="shared" si="97"/>
        <v>#DIV/0!</v>
      </c>
      <c r="AT95" s="190" t="e">
        <f t="shared" si="98"/>
        <v>#DIV/0!</v>
      </c>
      <c r="AU95" s="169" t="e">
        <f t="shared" si="99"/>
        <v>#DIV/0!</v>
      </c>
      <c r="AV95" s="225"/>
      <c r="AX95" t="e">
        <f t="shared" si="100"/>
        <v>#DIV/0!</v>
      </c>
      <c r="AY95" t="e">
        <f t="shared" si="101"/>
        <v>#DIV/0!</v>
      </c>
    </row>
    <row r="96" spans="14:51" x14ac:dyDescent="0.25">
      <c r="N96" s="170">
        <v>78</v>
      </c>
      <c r="O96" s="199">
        <f t="shared" si="76"/>
        <v>60.255958607435822</v>
      </c>
      <c r="P96" s="189" t="str">
        <f t="shared" si="67"/>
        <v>290</v>
      </c>
      <c r="Q96" s="160" t="e">
        <f t="shared" si="68"/>
        <v>#DIV/0!</v>
      </c>
      <c r="R96" s="160" t="e">
        <f t="shared" si="77"/>
        <v>#DIV/0!</v>
      </c>
      <c r="S96" s="160" t="e">
        <f t="shared" si="78"/>
        <v>#DIV/0!</v>
      </c>
      <c r="T96" s="160" t="e">
        <f t="shared" si="69"/>
        <v>#DIV/0!</v>
      </c>
      <c r="U96" s="160" t="e">
        <f t="shared" si="79"/>
        <v>#DIV/0!</v>
      </c>
      <c r="V96" s="160" t="e">
        <f t="shared" si="80"/>
        <v>#DIV/0!</v>
      </c>
      <c r="W96" s="98" t="str">
        <f t="shared" si="70"/>
        <v>1-0.0030169636005321i</v>
      </c>
      <c r="X96" s="160">
        <f t="shared" si="81"/>
        <v>1.0000045510243276</v>
      </c>
      <c r="Y96" s="160">
        <f t="shared" si="82"/>
        <v>-3.0169544470447659E-3</v>
      </c>
      <c r="Z96" s="98" t="str">
        <f t="shared" si="71"/>
        <v>0.999999924983873+0.000358256968311398i</v>
      </c>
      <c r="AA96" s="160">
        <f t="shared" si="83"/>
        <v>0.99999998915790345</v>
      </c>
      <c r="AB96" s="160">
        <f t="shared" si="84"/>
        <v>3.5825697985925292E-4</v>
      </c>
      <c r="AC96" s="171" t="e">
        <f t="shared" si="85"/>
        <v>#DIV/0!</v>
      </c>
      <c r="AD96" s="190" t="e">
        <f t="shared" si="86"/>
        <v>#DIV/0!</v>
      </c>
      <c r="AE96" s="169" t="e">
        <f t="shared" si="87"/>
        <v>#DIV/0!</v>
      </c>
      <c r="AF96" s="98" t="str">
        <f t="shared" si="72"/>
        <v>-0.0000182926829268293</v>
      </c>
      <c r="AG96" s="98" t="str">
        <f t="shared" si="73"/>
        <v>8.41247764126407E-06i</v>
      </c>
      <c r="AH96" s="98">
        <f t="shared" si="88"/>
        <v>8.4124776412640702E-6</v>
      </c>
      <c r="AI96" s="98">
        <f t="shared" si="89"/>
        <v>1.5707963267948966</v>
      </c>
      <c r="AJ96" s="98" t="str">
        <f t="shared" si="74"/>
        <v>1+0.000824671859745521i</v>
      </c>
      <c r="AK96" s="98">
        <f t="shared" si="90"/>
        <v>1.0000003400417803</v>
      </c>
      <c r="AL96" s="98">
        <f t="shared" si="91"/>
        <v>8.2467167279697397E-4</v>
      </c>
      <c r="AM96" s="98" t="str">
        <f t="shared" si="75"/>
        <v>1+0.0832918578342976i</v>
      </c>
      <c r="AN96" s="98">
        <f t="shared" si="92"/>
        <v>1.0034627713978674</v>
      </c>
      <c r="AO96" s="98">
        <f t="shared" si="93"/>
        <v>8.3100042285971717E-2</v>
      </c>
      <c r="AP96" s="168" t="str">
        <f t="shared" si="94"/>
        <v>-0.179322326108055+2.17461819948917i</v>
      </c>
      <c r="AQ96" s="98">
        <f t="shared" si="95"/>
        <v>6.7770920154032641</v>
      </c>
      <c r="AR96" s="169">
        <f t="shared" si="96"/>
        <v>94.714031494009589</v>
      </c>
      <c r="AS96" s="168" t="e">
        <f t="shared" si="97"/>
        <v>#DIV/0!</v>
      </c>
      <c r="AT96" s="190" t="e">
        <f t="shared" si="98"/>
        <v>#DIV/0!</v>
      </c>
      <c r="AU96" s="169" t="e">
        <f t="shared" si="99"/>
        <v>#DIV/0!</v>
      </c>
      <c r="AV96" s="225"/>
      <c r="AX96" t="e">
        <f t="shared" si="100"/>
        <v>#DIV/0!</v>
      </c>
      <c r="AY96" t="e">
        <f t="shared" si="101"/>
        <v>#DIV/0!</v>
      </c>
    </row>
    <row r="97" spans="14:51" x14ac:dyDescent="0.25">
      <c r="N97" s="170">
        <v>79</v>
      </c>
      <c r="O97" s="199">
        <f t="shared" si="76"/>
        <v>61.659500186148257</v>
      </c>
      <c r="P97" s="189" t="str">
        <f t="shared" si="67"/>
        <v>290</v>
      </c>
      <c r="Q97" s="160" t="e">
        <f t="shared" si="68"/>
        <v>#DIV/0!</v>
      </c>
      <c r="R97" s="160" t="e">
        <f t="shared" si="77"/>
        <v>#DIV/0!</v>
      </c>
      <c r="S97" s="160" t="e">
        <f t="shared" si="78"/>
        <v>#DIV/0!</v>
      </c>
      <c r="T97" s="160" t="e">
        <f t="shared" si="69"/>
        <v>#DIV/0!</v>
      </c>
      <c r="U97" s="160" t="e">
        <f t="shared" si="79"/>
        <v>#DIV/0!</v>
      </c>
      <c r="V97" s="160" t="e">
        <f t="shared" si="80"/>
        <v>#DIV/0!</v>
      </c>
      <c r="W97" s="98" t="str">
        <f t="shared" si="70"/>
        <v>1-0.00308723771039061i</v>
      </c>
      <c r="X97" s="160">
        <f t="shared" si="81"/>
        <v>1.0000047655069852</v>
      </c>
      <c r="Y97" s="160">
        <f t="shared" si="82"/>
        <v>-3.0872279022547459E-3</v>
      </c>
      <c r="Z97" s="98" t="str">
        <f t="shared" si="71"/>
        <v>0.999999921448472+0.000366601845108802i</v>
      </c>
      <c r="AA97" s="160">
        <f t="shared" si="83"/>
        <v>0.99999998864693151</v>
      </c>
      <c r="AB97" s="160">
        <f t="shared" si="84"/>
        <v>3.6660185748255142E-4</v>
      </c>
      <c r="AC97" s="171" t="e">
        <f t="shared" si="85"/>
        <v>#DIV/0!</v>
      </c>
      <c r="AD97" s="190" t="e">
        <f t="shared" si="86"/>
        <v>#DIV/0!</v>
      </c>
      <c r="AE97" s="169" t="e">
        <f t="shared" si="87"/>
        <v>#DIV/0!</v>
      </c>
      <c r="AF97" s="98" t="str">
        <f t="shared" si="72"/>
        <v>-0.0000182926829268293</v>
      </c>
      <c r="AG97" s="98" t="str">
        <f t="shared" si="73"/>
        <v>8.60842941802404E-06i</v>
      </c>
      <c r="AH97" s="98">
        <f t="shared" si="88"/>
        <v>8.6084294180240407E-6</v>
      </c>
      <c r="AI97" s="98">
        <f t="shared" si="89"/>
        <v>1.5707963267948966</v>
      </c>
      <c r="AJ97" s="98" t="str">
        <f t="shared" si="74"/>
        <v>1+0.00084388093500873i</v>
      </c>
      <c r="AK97" s="98">
        <f t="shared" si="90"/>
        <v>1.0000003560674529</v>
      </c>
      <c r="AL97" s="98">
        <f t="shared" si="91"/>
        <v>8.438807346897566E-4</v>
      </c>
      <c r="AM97" s="98" t="str">
        <f t="shared" si="75"/>
        <v>1+0.0852319744358816i</v>
      </c>
      <c r="AN97" s="98">
        <f t="shared" si="92"/>
        <v>1.0036256719844501</v>
      </c>
      <c r="AO97" s="98">
        <f t="shared" si="93"/>
        <v>8.5026480453504277E-2</v>
      </c>
      <c r="AP97" s="168" t="str">
        <f t="shared" si="94"/>
        <v>-0.179322320360536+2.12512465672696i</v>
      </c>
      <c r="AQ97" s="98">
        <f t="shared" si="95"/>
        <v>6.5785018155884956</v>
      </c>
      <c r="AR97" s="169">
        <f t="shared" si="96"/>
        <v>94.823307672327275</v>
      </c>
      <c r="AS97" s="168" t="e">
        <f t="shared" si="97"/>
        <v>#DIV/0!</v>
      </c>
      <c r="AT97" s="190" t="e">
        <f t="shared" si="98"/>
        <v>#DIV/0!</v>
      </c>
      <c r="AU97" s="169" t="e">
        <f t="shared" si="99"/>
        <v>#DIV/0!</v>
      </c>
      <c r="AV97" s="225"/>
      <c r="AX97" t="e">
        <f t="shared" si="100"/>
        <v>#DIV/0!</v>
      </c>
      <c r="AY97" t="e">
        <f t="shared" si="101"/>
        <v>#DIV/0!</v>
      </c>
    </row>
    <row r="98" spans="14:51" x14ac:dyDescent="0.25">
      <c r="N98" s="170">
        <v>80</v>
      </c>
      <c r="O98" s="199">
        <f t="shared" si="76"/>
        <v>63.095734448019364</v>
      </c>
      <c r="P98" s="189" t="str">
        <f t="shared" si="67"/>
        <v>290</v>
      </c>
      <c r="Q98" s="160" t="e">
        <f t="shared" si="68"/>
        <v>#DIV/0!</v>
      </c>
      <c r="R98" s="160" t="e">
        <f t="shared" si="77"/>
        <v>#DIV/0!</v>
      </c>
      <c r="S98" s="160" t="e">
        <f t="shared" si="78"/>
        <v>#DIV/0!</v>
      </c>
      <c r="T98" s="160" t="e">
        <f t="shared" si="69"/>
        <v>#DIV/0!</v>
      </c>
      <c r="U98" s="160" t="e">
        <f t="shared" si="79"/>
        <v>#DIV/0!</v>
      </c>
      <c r="V98" s="160" t="e">
        <f t="shared" si="80"/>
        <v>#DIV/0!</v>
      </c>
      <c r="W98" s="98" t="str">
        <f t="shared" si="70"/>
        <v>1-0.00315914871454759i</v>
      </c>
      <c r="X98" s="160">
        <f t="shared" si="81"/>
        <v>1.0000049900978498</v>
      </c>
      <c r="Y98" s="160">
        <f t="shared" si="82"/>
        <v>-3.1591382049434959E-3</v>
      </c>
      <c r="Z98" s="98" t="str">
        <f t="shared" si="71"/>
        <v>0.999999917746452+0.000375141099057032i</v>
      </c>
      <c r="AA98" s="160">
        <f t="shared" si="83"/>
        <v>0.99999998811187751</v>
      </c>
      <c r="AB98" s="160">
        <f t="shared" si="84"/>
        <v>3.7514111231574357E-4</v>
      </c>
      <c r="AC98" s="171" t="e">
        <f t="shared" si="85"/>
        <v>#DIV/0!</v>
      </c>
      <c r="AD98" s="190" t="e">
        <f t="shared" si="86"/>
        <v>#DIV/0!</v>
      </c>
      <c r="AE98" s="169" t="e">
        <f t="shared" si="87"/>
        <v>#DIV/0!</v>
      </c>
      <c r="AF98" s="98" t="str">
        <f t="shared" si="72"/>
        <v>-0.0000182926829268293</v>
      </c>
      <c r="AG98" s="98" t="str">
        <f t="shared" si="73"/>
        <v>8.80894549800749E-06i</v>
      </c>
      <c r="AH98" s="98">
        <f t="shared" si="88"/>
        <v>8.8089454980074896E-6</v>
      </c>
      <c r="AI98" s="98">
        <f t="shared" si="89"/>
        <v>1.5707963267948966</v>
      </c>
      <c r="AJ98" s="98" t="str">
        <f t="shared" si="74"/>
        <v>1+0.000863537447113763i</v>
      </c>
      <c r="AK98" s="98">
        <f t="shared" si="90"/>
        <v>1.0000003728483917</v>
      </c>
      <c r="AL98" s="98">
        <f t="shared" si="91"/>
        <v>8.6353723246812E-4</v>
      </c>
      <c r="AM98" s="98" t="str">
        <f t="shared" si="75"/>
        <v>1+0.0872172821584899i</v>
      </c>
      <c r="AN98" s="98">
        <f t="shared" si="92"/>
        <v>1.0037962215047005</v>
      </c>
      <c r="AO98" s="98">
        <f t="shared" si="93"/>
        <v>8.6997136339191358E-2</v>
      </c>
      <c r="AP98" s="168" t="str">
        <f t="shared" si="94"/>
        <v>-0.179322314342144+2.07675788318664i</v>
      </c>
      <c r="AQ98" s="98">
        <f t="shared" si="95"/>
        <v>6.3799775671690409</v>
      </c>
      <c r="AR98" s="169">
        <f t="shared" si="96"/>
        <v>94.935091703087039</v>
      </c>
      <c r="AS98" s="168" t="e">
        <f t="shared" si="97"/>
        <v>#DIV/0!</v>
      </c>
      <c r="AT98" s="190" t="e">
        <f t="shared" si="98"/>
        <v>#DIV/0!</v>
      </c>
      <c r="AU98" s="169" t="e">
        <f t="shared" si="99"/>
        <v>#DIV/0!</v>
      </c>
      <c r="AV98" s="225"/>
      <c r="AX98" t="e">
        <f t="shared" si="100"/>
        <v>#DIV/0!</v>
      </c>
      <c r="AY98" t="e">
        <f t="shared" si="101"/>
        <v>#DIV/0!</v>
      </c>
    </row>
    <row r="99" spans="14:51" x14ac:dyDescent="0.25">
      <c r="N99" s="170">
        <v>81</v>
      </c>
      <c r="O99" s="199">
        <f t="shared" si="76"/>
        <v>64.565422903465588</v>
      </c>
      <c r="P99" s="189" t="str">
        <f t="shared" si="67"/>
        <v>290</v>
      </c>
      <c r="Q99" s="160" t="e">
        <f t="shared" si="68"/>
        <v>#DIV/0!</v>
      </c>
      <c r="R99" s="160" t="e">
        <f t="shared" si="77"/>
        <v>#DIV/0!</v>
      </c>
      <c r="S99" s="160" t="e">
        <f t="shared" si="78"/>
        <v>#DIV/0!</v>
      </c>
      <c r="T99" s="160" t="e">
        <f t="shared" si="69"/>
        <v>#DIV/0!</v>
      </c>
      <c r="U99" s="160" t="e">
        <f t="shared" si="79"/>
        <v>#DIV/0!</v>
      </c>
      <c r="V99" s="160" t="e">
        <f t="shared" si="80"/>
        <v>#DIV/0!</v>
      </c>
      <c r="W99" s="98" t="str">
        <f t="shared" si="70"/>
        <v>1-0.0032327347411693i</v>
      </c>
      <c r="X99" s="160">
        <f t="shared" si="81"/>
        <v>1.0000052252733016</v>
      </c>
      <c r="Y99" s="160">
        <f t="shared" si="82"/>
        <v>-3.2327234799288005E-3</v>
      </c>
      <c r="Z99" s="98" t="str">
        <f t="shared" si="71"/>
        <v>0.999999913869962+0.00038387925778156i</v>
      </c>
      <c r="AA99" s="160">
        <f t="shared" si="83"/>
        <v>0.99999998755160802</v>
      </c>
      <c r="AB99" s="160">
        <f t="shared" si="84"/>
        <v>3.8387927198852524E-4</v>
      </c>
      <c r="AC99" s="171" t="e">
        <f t="shared" si="85"/>
        <v>#DIV/0!</v>
      </c>
      <c r="AD99" s="190" t="e">
        <f t="shared" si="86"/>
        <v>#DIV/0!</v>
      </c>
      <c r="AE99" s="169" t="e">
        <f t="shared" si="87"/>
        <v>#DIV/0!</v>
      </c>
      <c r="AF99" s="98" t="str">
        <f t="shared" si="72"/>
        <v>-0.0000182926829268293</v>
      </c>
      <c r="AG99" s="98" t="str">
        <f t="shared" si="73"/>
        <v>9.01413219749417E-06i</v>
      </c>
      <c r="AH99" s="98">
        <f t="shared" si="88"/>
        <v>9.0141321974941696E-6</v>
      </c>
      <c r="AI99" s="98">
        <f t="shared" si="89"/>
        <v>1.5707963267948966</v>
      </c>
      <c r="AJ99" s="98" t="str">
        <f t="shared" si="74"/>
        <v>1+0.000883651818203525i</v>
      </c>
      <c r="AK99" s="98">
        <f t="shared" si="90"/>
        <v>1.0000003904201917</v>
      </c>
      <c r="AL99" s="98">
        <f t="shared" si="91"/>
        <v>8.8365158820657964E-4</v>
      </c>
      <c r="AM99" s="98" t="str">
        <f t="shared" si="75"/>
        <v>1+0.0892488336385559i</v>
      </c>
      <c r="AN99" s="98">
        <f t="shared" si="92"/>
        <v>1.0039747777239441</v>
      </c>
      <c r="AO99" s="98">
        <f t="shared" si="93"/>
        <v>8.9012993552790354E-2</v>
      </c>
      <c r="AP99" s="168" t="str">
        <f t="shared" si="94"/>
        <v>-0.179322308040114+2.02949223416463i</v>
      </c>
      <c r="AQ99" s="98">
        <f t="shared" si="95"/>
        <v>6.1815223313871916</v>
      </c>
      <c r="AR99" s="169">
        <f t="shared" si="96"/>
        <v>95.049439345835822</v>
      </c>
      <c r="AS99" s="168" t="e">
        <f t="shared" si="97"/>
        <v>#DIV/0!</v>
      </c>
      <c r="AT99" s="190" t="e">
        <f t="shared" si="98"/>
        <v>#DIV/0!</v>
      </c>
      <c r="AU99" s="169" t="e">
        <f t="shared" si="99"/>
        <v>#DIV/0!</v>
      </c>
      <c r="AV99" s="225"/>
      <c r="AX99" t="e">
        <f t="shared" si="100"/>
        <v>#DIV/0!</v>
      </c>
      <c r="AY99" t="e">
        <f t="shared" si="101"/>
        <v>#DIV/0!</v>
      </c>
    </row>
    <row r="100" spans="14:51" x14ac:dyDescent="0.25">
      <c r="N100" s="170">
        <v>82</v>
      </c>
      <c r="O100" s="199">
        <f t="shared" si="76"/>
        <v>66.069344800759623</v>
      </c>
      <c r="P100" s="189" t="str">
        <f t="shared" si="67"/>
        <v>290</v>
      </c>
      <c r="Q100" s="160" t="e">
        <f t="shared" si="68"/>
        <v>#DIV/0!</v>
      </c>
      <c r="R100" s="160" t="e">
        <f t="shared" si="77"/>
        <v>#DIV/0!</v>
      </c>
      <c r="S100" s="160" t="e">
        <f t="shared" si="78"/>
        <v>#DIV/0!</v>
      </c>
      <c r="T100" s="160" t="e">
        <f t="shared" si="69"/>
        <v>#DIV/0!</v>
      </c>
      <c r="U100" s="160" t="e">
        <f t="shared" si="79"/>
        <v>#DIV/0!</v>
      </c>
      <c r="V100" s="160" t="e">
        <f t="shared" si="80"/>
        <v>#DIV/0!</v>
      </c>
      <c r="W100" s="98" t="str">
        <f t="shared" si="70"/>
        <v>1-0.00330803480654108i</v>
      </c>
      <c r="X100" s="160">
        <f t="shared" si="81"/>
        <v>1.0000054715321718</v>
      </c>
      <c r="Y100" s="160">
        <f t="shared" si="82"/>
        <v>-3.3080227399080496E-3</v>
      </c>
      <c r="Z100" s="98" t="str">
        <f t="shared" si="71"/>
        <v>0.999999909810778+0.000392820954369808i</v>
      </c>
      <c r="AA100" s="160">
        <f t="shared" si="83"/>
        <v>0.9999999869649332</v>
      </c>
      <c r="AB100" s="160">
        <f t="shared" si="84"/>
        <v>3.9282096959284568E-4</v>
      </c>
      <c r="AC100" s="171" t="e">
        <f t="shared" si="85"/>
        <v>#DIV/0!</v>
      </c>
      <c r="AD100" s="190" t="e">
        <f t="shared" si="86"/>
        <v>#DIV/0!</v>
      </c>
      <c r="AE100" s="169" t="e">
        <f t="shared" si="87"/>
        <v>#DIV/0!</v>
      </c>
      <c r="AF100" s="98" t="str">
        <f t="shared" si="72"/>
        <v>-0.0000182926829268293</v>
      </c>
      <c r="AG100" s="98" t="str">
        <f t="shared" si="73"/>
        <v>9.22409830918809E-06i</v>
      </c>
      <c r="AH100" s="98">
        <f t="shared" si="88"/>
        <v>9.2240983091880896E-6</v>
      </c>
      <c r="AI100" s="98">
        <f t="shared" si="89"/>
        <v>1.5707963267948966</v>
      </c>
      <c r="AJ100" s="98" t="str">
        <f t="shared" si="74"/>
        <v>1+0.000904234713183815i</v>
      </c>
      <c r="AK100" s="98">
        <f t="shared" si="90"/>
        <v>1.0000004088201246</v>
      </c>
      <c r="AL100" s="98">
        <f t="shared" si="91"/>
        <v>9.0423446673765337E-4</v>
      </c>
      <c r="AM100" s="98" t="str">
        <f t="shared" si="75"/>
        <v>1+0.0913277060315652i</v>
      </c>
      <c r="AN100" s="98">
        <f t="shared" si="92"/>
        <v>1.0041617150085878</v>
      </c>
      <c r="AO100" s="98">
        <f t="shared" si="93"/>
        <v>9.1075055357768095E-2</v>
      </c>
      <c r="AP100" s="168" t="str">
        <f t="shared" si="94"/>
        <v>-0.179322301441081+1.98330264878816i</v>
      </c>
      <c r="AQ100" s="98">
        <f t="shared" si="95"/>
        <v>5.983139309281194</v>
      </c>
      <c r="AR100" s="169">
        <f t="shared" si="96"/>
        <v>95.166407472286124</v>
      </c>
      <c r="AS100" s="168" t="e">
        <f t="shared" si="97"/>
        <v>#DIV/0!</v>
      </c>
      <c r="AT100" s="190" t="e">
        <f t="shared" si="98"/>
        <v>#DIV/0!</v>
      </c>
      <c r="AU100" s="169" t="e">
        <f t="shared" si="99"/>
        <v>#DIV/0!</v>
      </c>
      <c r="AV100" s="225"/>
      <c r="AX100" t="e">
        <f t="shared" si="100"/>
        <v>#DIV/0!</v>
      </c>
      <c r="AY100" t="e">
        <f t="shared" si="101"/>
        <v>#DIV/0!</v>
      </c>
    </row>
    <row r="101" spans="14:51" x14ac:dyDescent="0.25">
      <c r="N101" s="170">
        <v>83</v>
      </c>
      <c r="O101" s="199">
        <f t="shared" si="76"/>
        <v>67.60829753919819</v>
      </c>
      <c r="P101" s="189" t="str">
        <f t="shared" si="67"/>
        <v>290</v>
      </c>
      <c r="Q101" s="160" t="e">
        <f t="shared" si="68"/>
        <v>#DIV/0!</v>
      </c>
      <c r="R101" s="160" t="e">
        <f t="shared" si="77"/>
        <v>#DIV/0!</v>
      </c>
      <c r="S101" s="160" t="e">
        <f t="shared" si="78"/>
        <v>#DIV/0!</v>
      </c>
      <c r="T101" s="160" t="e">
        <f t="shared" si="69"/>
        <v>#DIV/0!</v>
      </c>
      <c r="U101" s="160" t="e">
        <f t="shared" si="79"/>
        <v>#DIV/0!</v>
      </c>
      <c r="V101" s="160" t="e">
        <f t="shared" si="80"/>
        <v>#DIV/0!</v>
      </c>
      <c r="W101" s="98" t="str">
        <f t="shared" si="70"/>
        <v>1-0.00338508883575431i</v>
      </c>
      <c r="X101" s="160">
        <f t="shared" si="81"/>
        <v>1.0000057293967999</v>
      </c>
      <c r="Y101" s="160">
        <f t="shared" si="82"/>
        <v>-3.3850759061280697E-3</v>
      </c>
      <c r="Z101" s="98" t="str">
        <f t="shared" si="71"/>
        <v>0.999999905560291+0.000401970929827663i</v>
      </c>
      <c r="AA101" s="160">
        <f t="shared" si="83"/>
        <v>0.99999998635060949</v>
      </c>
      <c r="AB101" s="160">
        <f t="shared" si="84"/>
        <v>4.0197094613944167E-4</v>
      </c>
      <c r="AC101" s="171" t="e">
        <f t="shared" si="85"/>
        <v>#DIV/0!</v>
      </c>
      <c r="AD101" s="190" t="e">
        <f t="shared" si="86"/>
        <v>#DIV/0!</v>
      </c>
      <c r="AE101" s="169" t="e">
        <f t="shared" si="87"/>
        <v>#DIV/0!</v>
      </c>
      <c r="AF101" s="98" t="str">
        <f t="shared" si="72"/>
        <v>-0.0000182926829268293</v>
      </c>
      <c r="AG101" s="98" t="str">
        <f t="shared" si="73"/>
        <v>9.43895515990093E-06i</v>
      </c>
      <c r="AH101" s="98">
        <f t="shared" si="88"/>
        <v>9.4389551599009308E-6</v>
      </c>
      <c r="AI101" s="98">
        <f t="shared" si="89"/>
        <v>1.5707963267948966</v>
      </c>
      <c r="AJ101" s="98" t="str">
        <f t="shared" si="74"/>
        <v>1+0.000925297045377995i</v>
      </c>
      <c r="AK101" s="98">
        <f t="shared" si="90"/>
        <v>1.0000004280872195</v>
      </c>
      <c r="AL101" s="98">
        <f t="shared" si="91"/>
        <v>9.2529678130618125E-4</v>
      </c>
      <c r="AM101" s="98" t="str">
        <f t="shared" si="75"/>
        <v>1+0.0934550015831774i</v>
      </c>
      <c r="AN101" s="98">
        <f t="shared" si="92"/>
        <v>1.0043574250837755</v>
      </c>
      <c r="AO101" s="98">
        <f t="shared" si="93"/>
        <v>9.3184344903056548E-2</v>
      </c>
      <c r="AP101" s="168" t="str">
        <f t="shared" si="94"/>
        <v>-0.179322294531044+1.93816463672763i</v>
      </c>
      <c r="AQ101" s="98">
        <f t="shared" si="95"/>
        <v>5.784831847849504</v>
      </c>
      <c r="AR101" s="169">
        <f t="shared" si="96"/>
        <v>95.286054079270656</v>
      </c>
      <c r="AS101" s="168" t="e">
        <f t="shared" si="97"/>
        <v>#DIV/0!</v>
      </c>
      <c r="AT101" s="190" t="e">
        <f t="shared" si="98"/>
        <v>#DIV/0!</v>
      </c>
      <c r="AU101" s="169" t="e">
        <f t="shared" si="99"/>
        <v>#DIV/0!</v>
      </c>
      <c r="AV101" s="225"/>
      <c r="AX101" t="e">
        <f t="shared" si="100"/>
        <v>#DIV/0!</v>
      </c>
      <c r="AY101" t="e">
        <f t="shared" si="101"/>
        <v>#DIV/0!</v>
      </c>
    </row>
    <row r="102" spans="14:51" x14ac:dyDescent="0.25">
      <c r="N102" s="170">
        <v>84</v>
      </c>
      <c r="O102" s="199">
        <f t="shared" si="76"/>
        <v>69.183097091893657</v>
      </c>
      <c r="P102" s="189" t="str">
        <f t="shared" si="67"/>
        <v>290</v>
      </c>
      <c r="Q102" s="160" t="e">
        <f t="shared" si="68"/>
        <v>#DIV/0!</v>
      </c>
      <c r="R102" s="160" t="e">
        <f t="shared" si="77"/>
        <v>#DIV/0!</v>
      </c>
      <c r="S102" s="160" t="e">
        <f t="shared" si="78"/>
        <v>#DIV/0!</v>
      </c>
      <c r="T102" s="160" t="e">
        <f t="shared" si="69"/>
        <v>#DIV/0!</v>
      </c>
      <c r="U102" s="160" t="e">
        <f t="shared" si="79"/>
        <v>#DIV/0!</v>
      </c>
      <c r="V102" s="160" t="e">
        <f t="shared" si="80"/>
        <v>#DIV/0!</v>
      </c>
      <c r="W102" s="98" t="str">
        <f t="shared" si="70"/>
        <v>1-0.0034639376838752i</v>
      </c>
      <c r="X102" s="160">
        <f t="shared" si="81"/>
        <v>1.0000059994141424</v>
      </c>
      <c r="Y102" s="160">
        <f t="shared" si="82"/>
        <v>-3.4639238295355629E-3</v>
      </c>
      <c r="Z102" s="98" t="str">
        <f t="shared" si="71"/>
        <v>0.999999901109485+0.000411334035593226i</v>
      </c>
      <c r="AA102" s="160">
        <f t="shared" si="83"/>
        <v>0.99999998570733428</v>
      </c>
      <c r="AB102" s="160">
        <f t="shared" si="84"/>
        <v>4.1133405307161157E-4</v>
      </c>
      <c r="AC102" s="171" t="e">
        <f t="shared" si="85"/>
        <v>#DIV/0!</v>
      </c>
      <c r="AD102" s="190" t="e">
        <f t="shared" si="86"/>
        <v>#DIV/0!</v>
      </c>
      <c r="AE102" s="169" t="e">
        <f t="shared" si="87"/>
        <v>#DIV/0!</v>
      </c>
      <c r="AF102" s="98" t="str">
        <f t="shared" si="72"/>
        <v>-0.0000182926829268293</v>
      </c>
      <c r="AG102" s="98" t="str">
        <f t="shared" si="73"/>
        <v>9.65881666957888E-06i</v>
      </c>
      <c r="AH102" s="98">
        <f t="shared" si="88"/>
        <v>9.6588166695788792E-6</v>
      </c>
      <c r="AI102" s="98">
        <f t="shared" si="89"/>
        <v>1.5707963267948966</v>
      </c>
      <c r="AJ102" s="98" t="str">
        <f t="shared" si="74"/>
        <v>1+0.000946849982313389i</v>
      </c>
      <c r="AK102" s="98">
        <f t="shared" si="90"/>
        <v>1.0000004482623441</v>
      </c>
      <c r="AL102" s="98">
        <f t="shared" si="91"/>
        <v>9.4684969935534939E-4</v>
      </c>
      <c r="AM102" s="98" t="str">
        <f t="shared" si="75"/>
        <v>1+0.0956318482136522i</v>
      </c>
      <c r="AN102" s="98">
        <f t="shared" si="92"/>
        <v>1.0045623178244141</v>
      </c>
      <c r="AO102" s="98">
        <f t="shared" si="93"/>
        <v>9.5341905444871838E-2</v>
      </c>
      <c r="AP102" s="168" t="str">
        <f t="shared" si="94"/>
        <v>-0.179322287295348+1.89405426521153i</v>
      </c>
      <c r="AQ102" s="98">
        <f t="shared" si="95"/>
        <v>5.5866034464660386</v>
      </c>
      <c r="AR102" s="169">
        <f t="shared" si="96"/>
        <v>95.408438301120214</v>
      </c>
      <c r="AS102" s="168" t="e">
        <f t="shared" si="97"/>
        <v>#DIV/0!</v>
      </c>
      <c r="AT102" s="190" t="e">
        <f t="shared" si="98"/>
        <v>#DIV/0!</v>
      </c>
      <c r="AU102" s="169" t="e">
        <f t="shared" si="99"/>
        <v>#DIV/0!</v>
      </c>
      <c r="AV102" s="225"/>
      <c r="AX102" t="e">
        <f t="shared" si="100"/>
        <v>#DIV/0!</v>
      </c>
      <c r="AY102" t="e">
        <f t="shared" si="101"/>
        <v>#DIV/0!</v>
      </c>
    </row>
    <row r="103" spans="14:51" x14ac:dyDescent="0.25">
      <c r="N103" s="170">
        <v>85</v>
      </c>
      <c r="O103" s="199">
        <f t="shared" si="76"/>
        <v>70.794578438413865</v>
      </c>
      <c r="P103" s="189" t="str">
        <f t="shared" si="67"/>
        <v>290</v>
      </c>
      <c r="Q103" s="160" t="e">
        <f t="shared" si="68"/>
        <v>#DIV/0!</v>
      </c>
      <c r="R103" s="160" t="e">
        <f t="shared" si="77"/>
        <v>#DIV/0!</v>
      </c>
      <c r="S103" s="160" t="e">
        <f t="shared" si="78"/>
        <v>#DIV/0!</v>
      </c>
      <c r="T103" s="160" t="e">
        <f t="shared" si="69"/>
        <v>#DIV/0!</v>
      </c>
      <c r="U103" s="160" t="e">
        <f t="shared" si="79"/>
        <v>#DIV/0!</v>
      </c>
      <c r="V103" s="160" t="e">
        <f t="shared" si="80"/>
        <v>#DIV/0!</v>
      </c>
      <c r="W103" s="98" t="str">
        <f t="shared" si="70"/>
        <v>1-0.00354462315760672i</v>
      </c>
      <c r="X103" s="160">
        <f t="shared" si="81"/>
        <v>1.000006282156932</v>
      </c>
      <c r="Y103" s="160">
        <f t="shared" si="82"/>
        <v>-3.5446083124193745E-3</v>
      </c>
      <c r="Z103" s="98" t="str">
        <f t="shared" si="71"/>
        <v>0.999999896448919+0.000420915236109111i</v>
      </c>
      <c r="AA103" s="160">
        <f t="shared" si="83"/>
        <v>0.9999999850337421</v>
      </c>
      <c r="AB103" s="160">
        <f t="shared" si="84"/>
        <v>4.2091525483753845E-4</v>
      </c>
      <c r="AC103" s="171" t="e">
        <f t="shared" si="85"/>
        <v>#DIV/0!</v>
      </c>
      <c r="AD103" s="190" t="e">
        <f t="shared" si="86"/>
        <v>#DIV/0!</v>
      </c>
      <c r="AE103" s="169" t="e">
        <f t="shared" si="87"/>
        <v>#DIV/0!</v>
      </c>
      <c r="AF103" s="98" t="str">
        <f t="shared" si="72"/>
        <v>-0.0000182926829268293</v>
      </c>
      <c r="AG103" s="98" t="str">
        <f t="shared" si="73"/>
        <v>9.88379941170461E-06i</v>
      </c>
      <c r="AH103" s="98">
        <f t="shared" si="88"/>
        <v>9.8837994117046101E-6</v>
      </c>
      <c r="AI103" s="98">
        <f t="shared" si="89"/>
        <v>1.5707963267948966</v>
      </c>
      <c r="AJ103" s="98" t="str">
        <f t="shared" si="74"/>
        <v>1+0.000968904951642449i</v>
      </c>
      <c r="AK103" s="98">
        <f t="shared" si="90"/>
        <v>1.0000004693882925</v>
      </c>
      <c r="AL103" s="98">
        <f t="shared" si="91"/>
        <v>9.6890464844745473E-4</v>
      </c>
      <c r="AM103" s="98" t="str">
        <f t="shared" si="75"/>
        <v>1+0.0978594001158872i</v>
      </c>
      <c r="AN103" s="98">
        <f t="shared" si="92"/>
        <v>1.0047768220809241</v>
      </c>
      <c r="AO103" s="98">
        <f t="shared" si="93"/>
        <v>9.7548800557363882E-2</v>
      </c>
      <c r="AP103" s="168" t="str">
        <f t="shared" si="94"/>
        <v>-0.179322279718645+1.85094814633696i</v>
      </c>
      <c r="AQ103" s="98">
        <f t="shared" si="95"/>
        <v>5.3884577635542277</v>
      </c>
      <c r="AR103" s="169">
        <f t="shared" si="96"/>
        <v>95.533620421393721</v>
      </c>
      <c r="AS103" s="168" t="e">
        <f t="shared" si="97"/>
        <v>#DIV/0!</v>
      </c>
      <c r="AT103" s="190" t="e">
        <f t="shared" si="98"/>
        <v>#DIV/0!</v>
      </c>
      <c r="AU103" s="169" t="e">
        <f t="shared" si="99"/>
        <v>#DIV/0!</v>
      </c>
      <c r="AV103" s="225"/>
      <c r="AX103" t="e">
        <f t="shared" si="100"/>
        <v>#DIV/0!</v>
      </c>
      <c r="AY103" t="e">
        <f t="shared" si="101"/>
        <v>#DIV/0!</v>
      </c>
    </row>
    <row r="104" spans="14:51" x14ac:dyDescent="0.25">
      <c r="N104" s="170">
        <v>86</v>
      </c>
      <c r="O104" s="199">
        <f t="shared" si="76"/>
        <v>72.443596007499011</v>
      </c>
      <c r="P104" s="189" t="str">
        <f t="shared" si="67"/>
        <v>290</v>
      </c>
      <c r="Q104" s="160" t="e">
        <f t="shared" si="68"/>
        <v>#DIV/0!</v>
      </c>
      <c r="R104" s="160" t="e">
        <f t="shared" si="77"/>
        <v>#DIV/0!</v>
      </c>
      <c r="S104" s="160" t="e">
        <f t="shared" si="78"/>
        <v>#DIV/0!</v>
      </c>
      <c r="T104" s="160" t="e">
        <f t="shared" si="69"/>
        <v>#DIV/0!</v>
      </c>
      <c r="U104" s="160" t="e">
        <f t="shared" si="79"/>
        <v>#DIV/0!</v>
      </c>
      <c r="V104" s="160" t="e">
        <f t="shared" si="80"/>
        <v>#DIV/0!</v>
      </c>
      <c r="W104" s="98" t="str">
        <f t="shared" si="70"/>
        <v>1-0.00362718803745503i</v>
      </c>
      <c r="X104" s="160">
        <f t="shared" si="81"/>
        <v>1.000006578224893</v>
      </c>
      <c r="Y104" s="160">
        <f t="shared" si="82"/>
        <v>-3.627172130555851E-3</v>
      </c>
      <c r="Z104" s="98" t="str">
        <f t="shared" si="71"/>
        <v>0.999999891568707+0.000430719611454651i</v>
      </c>
      <c r="AA104" s="160">
        <f t="shared" si="83"/>
        <v>0.99999998432840453</v>
      </c>
      <c r="AB104" s="160">
        <f t="shared" si="84"/>
        <v>4.3071963152252252E-4</v>
      </c>
      <c r="AC104" s="171" t="e">
        <f t="shared" si="85"/>
        <v>#DIV/0!</v>
      </c>
      <c r="AD104" s="190" t="e">
        <f t="shared" si="86"/>
        <v>#DIV/0!</v>
      </c>
      <c r="AE104" s="169" t="e">
        <f t="shared" si="87"/>
        <v>#DIV/0!</v>
      </c>
      <c r="AF104" s="98" t="str">
        <f t="shared" si="72"/>
        <v>-0.0000182926829268293</v>
      </c>
      <c r="AG104" s="98" t="str">
        <f t="shared" si="73"/>
        <v>0.000010114022675106i</v>
      </c>
      <c r="AH104" s="98">
        <f t="shared" si="88"/>
        <v>1.0114022675106E-5</v>
      </c>
      <c r="AI104" s="98">
        <f t="shared" si="89"/>
        <v>1.5707963267948966</v>
      </c>
      <c r="AJ104" s="98" t="str">
        <f t="shared" si="74"/>
        <v>1+0.000991473647201838i</v>
      </c>
      <c r="AK104" s="98">
        <f t="shared" si="90"/>
        <v>1.0000004915098759</v>
      </c>
      <c r="AL104" s="98">
        <f t="shared" si="91"/>
        <v>9.9147332232255698E-4</v>
      </c>
      <c r="AM104" s="98" t="str">
        <f t="shared" si="75"/>
        <v>1+0.100138838367386i</v>
      </c>
      <c r="AN104" s="98">
        <f t="shared" si="92"/>
        <v>1.0050013865411178</v>
      </c>
      <c r="AO104" s="98">
        <f t="shared" si="93"/>
        <v>9.9806114330779627E-2</v>
      </c>
      <c r="AP104" s="168" t="str">
        <f t="shared" si="94"/>
        <v>-0.179322271784863+1.80882342466909i</v>
      </c>
      <c r="AQ104" s="98">
        <f t="shared" si="95"/>
        <v>5.1903986235283881</v>
      </c>
      <c r="AR104" s="169">
        <f t="shared" si="96"/>
        <v>95.661661883884932</v>
      </c>
      <c r="AS104" s="168" t="e">
        <f t="shared" si="97"/>
        <v>#DIV/0!</v>
      </c>
      <c r="AT104" s="190" t="e">
        <f t="shared" si="98"/>
        <v>#DIV/0!</v>
      </c>
      <c r="AU104" s="169" t="e">
        <f t="shared" si="99"/>
        <v>#DIV/0!</v>
      </c>
      <c r="AV104" s="225"/>
      <c r="AX104" t="e">
        <f t="shared" si="100"/>
        <v>#DIV/0!</v>
      </c>
      <c r="AY104" t="e">
        <f t="shared" si="101"/>
        <v>#DIV/0!</v>
      </c>
    </row>
    <row r="105" spans="14:51" x14ac:dyDescent="0.25">
      <c r="N105" s="170">
        <v>87</v>
      </c>
      <c r="O105" s="199">
        <f t="shared" si="76"/>
        <v>74.131024130091816</v>
      </c>
      <c r="P105" s="189" t="str">
        <f t="shared" si="67"/>
        <v>290</v>
      </c>
      <c r="Q105" s="160" t="e">
        <f t="shared" si="68"/>
        <v>#DIV/0!</v>
      </c>
      <c r="R105" s="160" t="e">
        <f t="shared" si="77"/>
        <v>#DIV/0!</v>
      </c>
      <c r="S105" s="160" t="e">
        <f t="shared" si="78"/>
        <v>#DIV/0!</v>
      </c>
      <c r="T105" s="160" t="e">
        <f t="shared" si="69"/>
        <v>#DIV/0!</v>
      </c>
      <c r="U105" s="160" t="e">
        <f t="shared" si="79"/>
        <v>#DIV/0!</v>
      </c>
      <c r="V105" s="160" t="e">
        <f t="shared" si="80"/>
        <v>#DIV/0!</v>
      </c>
      <c r="W105" s="98" t="str">
        <f t="shared" si="70"/>
        <v>1-0.00371167610041232i</v>
      </c>
      <c r="X105" s="160">
        <f t="shared" si="81"/>
        <v>1.0000068882460131</v>
      </c>
      <c r="Y105" s="160">
        <f t="shared" si="82"/>
        <v>-3.7116590558691044E-3</v>
      </c>
      <c r="Z105" s="98" t="str">
        <f t="shared" si="71"/>
        <v>0.999999886458497+0.000440752360039434i</v>
      </c>
      <c r="AA105" s="160">
        <f t="shared" si="83"/>
        <v>0.99999998358982478</v>
      </c>
      <c r="AB105" s="160">
        <f t="shared" si="84"/>
        <v>4.4075238154254591E-4</v>
      </c>
      <c r="AC105" s="171" t="e">
        <f t="shared" si="85"/>
        <v>#DIV/0!</v>
      </c>
      <c r="AD105" s="190" t="e">
        <f t="shared" si="86"/>
        <v>#DIV/0!</v>
      </c>
      <c r="AE105" s="169" t="e">
        <f t="shared" si="87"/>
        <v>#DIV/0!</v>
      </c>
      <c r="AF105" s="98" t="str">
        <f t="shared" si="72"/>
        <v>-0.0000182926829268293</v>
      </c>
      <c r="AG105" s="98" t="str">
        <f t="shared" si="73"/>
        <v>0.0000103496085272046i</v>
      </c>
      <c r="AH105" s="98">
        <f t="shared" si="88"/>
        <v>1.0349608527204599E-5</v>
      </c>
      <c r="AI105" s="98">
        <f t="shared" si="89"/>
        <v>1.5707963267948966</v>
      </c>
      <c r="AJ105" s="98" t="str">
        <f t="shared" si="74"/>
        <v>1+0.00101456803521268i</v>
      </c>
      <c r="AK105" s="98">
        <f t="shared" si="90"/>
        <v>1.0000005146740167</v>
      </c>
      <c r="AL105" s="98">
        <f t="shared" si="91"/>
        <v>1.0145676870982681E-3</v>
      </c>
      <c r="AM105" s="98" t="str">
        <f t="shared" si="75"/>
        <v>1+0.102471371556481i</v>
      </c>
      <c r="AN105" s="98">
        <f t="shared" si="92"/>
        <v>1.005236480629641</v>
      </c>
      <c r="AO105" s="98">
        <f t="shared" si="93"/>
        <v>0.10211495155572795</v>
      </c>
      <c r="AP105" s="168" t="str">
        <f t="shared" si="94"/>
        <v>-0.179322263477175+1.76765776512285i</v>
      </c>
      <c r="AQ105" s="98">
        <f t="shared" si="95"/>
        <v>4.9924300240100266</v>
      </c>
      <c r="AR105" s="169">
        <f t="shared" si="96"/>
        <v>95.792625302824987</v>
      </c>
      <c r="AS105" s="168" t="e">
        <f t="shared" si="97"/>
        <v>#DIV/0!</v>
      </c>
      <c r="AT105" s="190" t="e">
        <f t="shared" si="98"/>
        <v>#DIV/0!</v>
      </c>
      <c r="AU105" s="169" t="e">
        <f t="shared" si="99"/>
        <v>#DIV/0!</v>
      </c>
      <c r="AV105" s="225"/>
      <c r="AX105" t="e">
        <f t="shared" si="100"/>
        <v>#DIV/0!</v>
      </c>
      <c r="AY105" t="e">
        <f t="shared" si="101"/>
        <v>#DIV/0!</v>
      </c>
    </row>
    <row r="106" spans="14:51" x14ac:dyDescent="0.25">
      <c r="N106" s="170">
        <v>88</v>
      </c>
      <c r="O106" s="199">
        <f t="shared" si="76"/>
        <v>75.857757502918361</v>
      </c>
      <c r="P106" s="189" t="str">
        <f t="shared" si="67"/>
        <v>290</v>
      </c>
      <c r="Q106" s="160" t="e">
        <f t="shared" si="68"/>
        <v>#DIV/0!</v>
      </c>
      <c r="R106" s="160" t="e">
        <f t="shared" si="77"/>
        <v>#DIV/0!</v>
      </c>
      <c r="S106" s="160" t="e">
        <f t="shared" si="78"/>
        <v>#DIV/0!</v>
      </c>
      <c r="T106" s="160" t="e">
        <f t="shared" si="69"/>
        <v>#DIV/0!</v>
      </c>
      <c r="U106" s="160" t="e">
        <f t="shared" si="79"/>
        <v>#DIV/0!</v>
      </c>
      <c r="V106" s="160" t="e">
        <f t="shared" si="80"/>
        <v>#DIV/0!</v>
      </c>
      <c r="W106" s="98" t="str">
        <f t="shared" si="70"/>
        <v>1-0.00379813214316788i</v>
      </c>
      <c r="X106" s="160">
        <f t="shared" si="81"/>
        <v>1.0000072128778756</v>
      </c>
      <c r="Y106" s="160">
        <f t="shared" si="82"/>
        <v>-3.7981138796178899E-3</v>
      </c>
      <c r="Z106" s="98" t="str">
        <f t="shared" si="71"/>
        <v>0.999999881107451+0.000451018801359557i</v>
      </c>
      <c r="AA106" s="160">
        <f t="shared" si="83"/>
        <v>0.99999998281643743</v>
      </c>
      <c r="AB106" s="160">
        <f t="shared" si="84"/>
        <v>4.5101882440055647E-4</v>
      </c>
      <c r="AC106" s="171" t="e">
        <f t="shared" si="85"/>
        <v>#DIV/0!</v>
      </c>
      <c r="AD106" s="190" t="e">
        <f t="shared" si="86"/>
        <v>#DIV/0!</v>
      </c>
      <c r="AE106" s="169" t="e">
        <f t="shared" si="87"/>
        <v>#DIV/0!</v>
      </c>
      <c r="AF106" s="98" t="str">
        <f t="shared" si="72"/>
        <v>-0.0000182926829268293</v>
      </c>
      <c r="AG106" s="98" t="str">
        <f t="shared" si="73"/>
        <v>0.0000105906818787376i</v>
      </c>
      <c r="AH106" s="98">
        <f t="shared" si="88"/>
        <v>1.05906818787376E-5</v>
      </c>
      <c r="AI106" s="98">
        <f t="shared" si="89"/>
        <v>1.5707963267948966</v>
      </c>
      <c r="AJ106" s="98" t="str">
        <f t="shared" si="74"/>
        <v>1+0.00103820036062519i</v>
      </c>
      <c r="AK106" s="98">
        <f t="shared" si="90"/>
        <v>1.0000005389298492</v>
      </c>
      <c r="AL106" s="98">
        <f t="shared" si="91"/>
        <v>1.0381999876138883E-3</v>
      </c>
      <c r="AM106" s="98" t="str">
        <f t="shared" si="75"/>
        <v>1+0.104858236423144i</v>
      </c>
      <c r="AN106" s="98">
        <f t="shared" si="92"/>
        <v>1.0054825954464712</v>
      </c>
      <c r="AO106" s="98">
        <f t="shared" si="93"/>
        <v>0.10447643789203619</v>
      </c>
      <c r="AP106" s="168" t="str">
        <f t="shared" si="94"/>
        <v>-0.179322254777958+1.7274293411206i</v>
      </c>
      <c r="AQ106" s="98">
        <f t="shared" si="95"/>
        <v>4.7945561433281005</v>
      </c>
      <c r="AR106" s="169">
        <f t="shared" si="96"/>
        <v>95.92657447219355</v>
      </c>
      <c r="AS106" s="168" t="e">
        <f t="shared" si="97"/>
        <v>#DIV/0!</v>
      </c>
      <c r="AT106" s="190" t="e">
        <f t="shared" si="98"/>
        <v>#DIV/0!</v>
      </c>
      <c r="AU106" s="169" t="e">
        <f t="shared" si="99"/>
        <v>#DIV/0!</v>
      </c>
      <c r="AV106" s="225"/>
      <c r="AX106" t="e">
        <f t="shared" si="100"/>
        <v>#DIV/0!</v>
      </c>
      <c r="AY106" t="e">
        <f t="shared" si="101"/>
        <v>#DIV/0!</v>
      </c>
    </row>
    <row r="107" spans="14:51" x14ac:dyDescent="0.25">
      <c r="N107" s="170">
        <v>89</v>
      </c>
      <c r="O107" s="199">
        <f t="shared" si="76"/>
        <v>77.624711662869217</v>
      </c>
      <c r="P107" s="189" t="str">
        <f t="shared" si="67"/>
        <v>290</v>
      </c>
      <c r="Q107" s="160" t="e">
        <f t="shared" si="68"/>
        <v>#DIV/0!</v>
      </c>
      <c r="R107" s="160" t="e">
        <f t="shared" si="77"/>
        <v>#DIV/0!</v>
      </c>
      <c r="S107" s="160" t="e">
        <f t="shared" si="78"/>
        <v>#DIV/0!</v>
      </c>
      <c r="T107" s="160" t="e">
        <f t="shared" si="69"/>
        <v>#DIV/0!</v>
      </c>
      <c r="U107" s="160" t="e">
        <f t="shared" si="79"/>
        <v>#DIV/0!</v>
      </c>
      <c r="V107" s="160" t="e">
        <f t="shared" si="80"/>
        <v>#DIV/0!</v>
      </c>
      <c r="W107" s="98" t="str">
        <f t="shared" si="70"/>
        <v>1-0.00388660200585998i</v>
      </c>
      <c r="X107" s="160">
        <f t="shared" si="81"/>
        <v>1.0000075528090535</v>
      </c>
      <c r="Y107" s="160">
        <f t="shared" si="82"/>
        <v>-3.8865824361215663E-3</v>
      </c>
      <c r="Z107" s="98" t="str">
        <f t="shared" si="71"/>
        <v>0.999999875504218+0.0004615243788181i</v>
      </c>
      <c r="AA107" s="160">
        <f t="shared" si="83"/>
        <v>0.99999998200660167</v>
      </c>
      <c r="AB107" s="160">
        <f t="shared" si="84"/>
        <v>4.6152440350697555E-4</v>
      </c>
      <c r="AC107" s="171" t="e">
        <f t="shared" si="85"/>
        <v>#DIV/0!</v>
      </c>
      <c r="AD107" s="190" t="e">
        <f t="shared" si="86"/>
        <v>#DIV/0!</v>
      </c>
      <c r="AE107" s="169" t="e">
        <f t="shared" si="87"/>
        <v>#DIV/0!</v>
      </c>
      <c r="AF107" s="98" t="str">
        <f t="shared" si="72"/>
        <v>-0.0000182926829268293</v>
      </c>
      <c r="AG107" s="98" t="str">
        <f t="shared" si="73"/>
        <v>0.0000108373705499869i</v>
      </c>
      <c r="AH107" s="98">
        <f t="shared" si="88"/>
        <v>1.0837370549986901E-5</v>
      </c>
      <c r="AI107" s="98">
        <f t="shared" si="89"/>
        <v>1.5707963267948966</v>
      </c>
      <c r="AJ107" s="98" t="str">
        <f t="shared" si="74"/>
        <v>1+0.00106238315361111i</v>
      </c>
      <c r="AK107" s="98">
        <f t="shared" si="90"/>
        <v>1.0000005643288232</v>
      </c>
      <c r="AL107" s="98">
        <f t="shared" si="91"/>
        <v>1.0623827539223113E-3</v>
      </c>
      <c r="AM107" s="98" t="str">
        <f t="shared" si="75"/>
        <v>1+0.107300698514722i</v>
      </c>
      <c r="AN107" s="98">
        <f t="shared" si="92"/>
        <v>1.0057402447460018</v>
      </c>
      <c r="AO107" s="98">
        <f t="shared" si="93"/>
        <v>0.10689172002058102</v>
      </c>
      <c r="AP107" s="168" t="str">
        <f t="shared" si="94"/>
        <v>-0.179322245668761+1.6881168230194i</v>
      </c>
      <c r="AQ107" s="98">
        <f t="shared" si="95"/>
        <v>4.5967813483109721</v>
      </c>
      <c r="AR107" s="169">
        <f t="shared" si="96"/>
        <v>96.06357437404607</v>
      </c>
      <c r="AS107" s="168" t="e">
        <f t="shared" si="97"/>
        <v>#DIV/0!</v>
      </c>
      <c r="AT107" s="190" t="e">
        <f t="shared" si="98"/>
        <v>#DIV/0!</v>
      </c>
      <c r="AU107" s="169" t="e">
        <f t="shared" si="99"/>
        <v>#DIV/0!</v>
      </c>
      <c r="AV107" s="225"/>
      <c r="AX107" t="e">
        <f t="shared" si="100"/>
        <v>#DIV/0!</v>
      </c>
      <c r="AY107" t="e">
        <f t="shared" si="101"/>
        <v>#DIV/0!</v>
      </c>
    </row>
    <row r="108" spans="14:51" x14ac:dyDescent="0.25">
      <c r="N108" s="170">
        <v>90</v>
      </c>
      <c r="O108" s="199">
        <f t="shared" si="76"/>
        <v>79.432823472428197</v>
      </c>
      <c r="P108" s="189" t="str">
        <f t="shared" si="67"/>
        <v>290</v>
      </c>
      <c r="Q108" s="160" t="e">
        <f t="shared" si="68"/>
        <v>#DIV/0!</v>
      </c>
      <c r="R108" s="160" t="e">
        <f t="shared" si="77"/>
        <v>#DIV/0!</v>
      </c>
      <c r="S108" s="160" t="e">
        <f t="shared" si="78"/>
        <v>#DIV/0!</v>
      </c>
      <c r="T108" s="160" t="e">
        <f t="shared" si="69"/>
        <v>#DIV/0!</v>
      </c>
      <c r="U108" s="160" t="e">
        <f t="shared" si="79"/>
        <v>#DIV/0!</v>
      </c>
      <c r="V108" s="160" t="e">
        <f t="shared" si="80"/>
        <v>#DIV/0!</v>
      </c>
      <c r="W108" s="98" t="str">
        <f t="shared" si="70"/>
        <v>1-0.00397713259638084i</v>
      </c>
      <c r="X108" s="160">
        <f t="shared" si="81"/>
        <v>1.0000079087605704</v>
      </c>
      <c r="Y108" s="160">
        <f t="shared" si="82"/>
        <v>-3.9771116270372886E-3</v>
      </c>
      <c r="Z108" s="98" t="str">
        <f t="shared" si="71"/>
        <v>0.999999869636912+0.00047227466261129i</v>
      </c>
      <c r="AA108" s="160">
        <f t="shared" si="83"/>
        <v>0.99999998115859867</v>
      </c>
      <c r="AB108" s="160">
        <f t="shared" si="84"/>
        <v>4.7227468906589707E-4</v>
      </c>
      <c r="AC108" s="171" t="e">
        <f t="shared" si="85"/>
        <v>#DIV/0!</v>
      </c>
      <c r="AD108" s="190" t="e">
        <f t="shared" si="86"/>
        <v>#DIV/0!</v>
      </c>
      <c r="AE108" s="169" t="e">
        <f t="shared" si="87"/>
        <v>#DIV/0!</v>
      </c>
      <c r="AF108" s="98" t="str">
        <f t="shared" si="72"/>
        <v>-0.0000182926829268293</v>
      </c>
      <c r="AG108" s="98" t="str">
        <f t="shared" si="73"/>
        <v>0.0000110898053385515i</v>
      </c>
      <c r="AH108" s="98">
        <f t="shared" si="88"/>
        <v>1.10898053385515E-5</v>
      </c>
      <c r="AI108" s="98">
        <f t="shared" si="89"/>
        <v>1.5707963267948966</v>
      </c>
      <c r="AJ108" s="98" t="str">
        <f t="shared" si="74"/>
        <v>1+0.00108712923620738i</v>
      </c>
      <c r="AK108" s="98">
        <f t="shared" si="90"/>
        <v>1.0000005909248135</v>
      </c>
      <c r="AL108" s="98">
        <f t="shared" si="91"/>
        <v>1.0871288079331298E-3</v>
      </c>
      <c r="AM108" s="98" t="str">
        <f t="shared" si="75"/>
        <v>1+0.109800052856945i</v>
      </c>
      <c r="AN108" s="98">
        <f t="shared" si="92"/>
        <v>1.0060099659582842</v>
      </c>
      <c r="AO108" s="98">
        <f t="shared" si="93"/>
        <v>0.10936196577636807</v>
      </c>
      <c r="AP108" s="168" t="str">
        <f t="shared" si="94"/>
        <v>-0.179322236130261+1.64969936680169i</v>
      </c>
      <c r="AQ108" s="98">
        <f t="shared" si="95"/>
        <v>4.3991102023779431</v>
      </c>
      <c r="AR108" s="169">
        <f t="shared" si="96"/>
        <v>96.203691185758416</v>
      </c>
      <c r="AS108" s="168" t="e">
        <f t="shared" si="97"/>
        <v>#DIV/0!</v>
      </c>
      <c r="AT108" s="190" t="e">
        <f t="shared" si="98"/>
        <v>#DIV/0!</v>
      </c>
      <c r="AU108" s="169" t="e">
        <f t="shared" si="99"/>
        <v>#DIV/0!</v>
      </c>
      <c r="AV108" s="225"/>
      <c r="AX108" t="e">
        <f t="shared" si="100"/>
        <v>#DIV/0!</v>
      </c>
      <c r="AY108" t="e">
        <f t="shared" si="101"/>
        <v>#DIV/0!</v>
      </c>
    </row>
    <row r="109" spans="14:51" x14ac:dyDescent="0.25">
      <c r="N109" s="170">
        <v>91</v>
      </c>
      <c r="O109" s="199">
        <f t="shared" si="76"/>
        <v>81.283051616409963</v>
      </c>
      <c r="P109" s="189" t="str">
        <f t="shared" si="67"/>
        <v>290</v>
      </c>
      <c r="Q109" s="160" t="e">
        <f t="shared" si="68"/>
        <v>#DIV/0!</v>
      </c>
      <c r="R109" s="160" t="e">
        <f t="shared" si="77"/>
        <v>#DIV/0!</v>
      </c>
      <c r="S109" s="160" t="e">
        <f t="shared" si="78"/>
        <v>#DIV/0!</v>
      </c>
      <c r="T109" s="160" t="e">
        <f t="shared" si="69"/>
        <v>#DIV/0!</v>
      </c>
      <c r="U109" s="160" t="e">
        <f t="shared" si="79"/>
        <v>#DIV/0!</v>
      </c>
      <c r="V109" s="160" t="e">
        <f t="shared" si="80"/>
        <v>#DIV/0!</v>
      </c>
      <c r="W109" s="98" t="str">
        <f t="shared" si="70"/>
        <v>1-0.00406977191524787i</v>
      </c>
      <c r="X109" s="160">
        <f t="shared" si="81"/>
        <v>1.0000082814874296</v>
      </c>
      <c r="Y109" s="160">
        <f t="shared" si="82"/>
        <v>-4.0697494462014865E-3</v>
      </c>
      <c r="Z109" s="98" t="str">
        <f t="shared" si="71"/>
        <v>0.999999863493089+0.00048327535268189i</v>
      </c>
      <c r="AA109" s="160">
        <f t="shared" si="83"/>
        <v>0.99999998027063131</v>
      </c>
      <c r="AB109" s="160">
        <f t="shared" si="84"/>
        <v>4.8327538102851204E-4</v>
      </c>
      <c r="AC109" s="171" t="e">
        <f t="shared" si="85"/>
        <v>#DIV/0!</v>
      </c>
      <c r="AD109" s="190" t="e">
        <f t="shared" si="86"/>
        <v>#DIV/0!</v>
      </c>
      <c r="AE109" s="169" t="e">
        <f t="shared" si="87"/>
        <v>#DIV/0!</v>
      </c>
      <c r="AF109" s="98" t="str">
        <f t="shared" si="72"/>
        <v>-0.0000182926829268293</v>
      </c>
      <c r="AG109" s="98" t="str">
        <f t="shared" si="73"/>
        <v>0.0000113481200886974i</v>
      </c>
      <c r="AH109" s="98">
        <f t="shared" si="88"/>
        <v>1.1348120088697399E-5</v>
      </c>
      <c r="AI109" s="98">
        <f t="shared" si="89"/>
        <v>1.5707963267948966</v>
      </c>
      <c r="AJ109" s="98" t="str">
        <f t="shared" si="74"/>
        <v>1+0.00111245172911454i</v>
      </c>
      <c r="AK109" s="98">
        <f t="shared" si="90"/>
        <v>1.0000006187742334</v>
      </c>
      <c r="AL109" s="98">
        <f t="shared" si="91"/>
        <v>1.1124512702104282E-3</v>
      </c>
      <c r="AM109" s="98" t="str">
        <f t="shared" si="75"/>
        <v>1+0.112357624640568i</v>
      </c>
      <c r="AN109" s="98">
        <f t="shared" si="92"/>
        <v>1.0062923212540533</v>
      </c>
      <c r="AO109" s="98">
        <f t="shared" si="93"/>
        <v>0.11188836426102647</v>
      </c>
      <c r="AP109" s="168" t="str">
        <f t="shared" si="94"/>
        <v>-0.179322226142227+1.61215660302366i</v>
      </c>
      <c r="AQ109" s="98">
        <f t="shared" si="95"/>
        <v>4.2015474739396872</v>
      </c>
      <c r="AR109" s="169">
        <f t="shared" si="96"/>
        <v>96.346992286082198</v>
      </c>
      <c r="AS109" s="168" t="e">
        <f t="shared" si="97"/>
        <v>#DIV/0!</v>
      </c>
      <c r="AT109" s="190" t="e">
        <f t="shared" si="98"/>
        <v>#DIV/0!</v>
      </c>
      <c r="AU109" s="169" t="e">
        <f t="shared" si="99"/>
        <v>#DIV/0!</v>
      </c>
      <c r="AV109" s="225"/>
      <c r="AX109" t="e">
        <f t="shared" si="100"/>
        <v>#DIV/0!</v>
      </c>
      <c r="AY109" t="e">
        <f t="shared" si="101"/>
        <v>#DIV/0!</v>
      </c>
    </row>
    <row r="110" spans="14:51" x14ac:dyDescent="0.25">
      <c r="N110" s="170">
        <v>92</v>
      </c>
      <c r="O110" s="199">
        <f t="shared" si="76"/>
        <v>83.176377110267126</v>
      </c>
      <c r="P110" s="189" t="str">
        <f t="shared" si="67"/>
        <v>290</v>
      </c>
      <c r="Q110" s="160" t="e">
        <f t="shared" si="68"/>
        <v>#DIV/0!</v>
      </c>
      <c r="R110" s="160" t="e">
        <f t="shared" si="77"/>
        <v>#DIV/0!</v>
      </c>
      <c r="S110" s="160" t="e">
        <f t="shared" si="78"/>
        <v>#DIV/0!</v>
      </c>
      <c r="T110" s="160" t="e">
        <f t="shared" si="69"/>
        <v>#DIV/0!</v>
      </c>
      <c r="U110" s="160" t="e">
        <f t="shared" si="79"/>
        <v>#DIV/0!</v>
      </c>
      <c r="V110" s="160" t="e">
        <f t="shared" si="80"/>
        <v>#DIV/0!</v>
      </c>
      <c r="W110" s="98" t="str">
        <f t="shared" si="70"/>
        <v>1-0.00416456908105417i</v>
      </c>
      <c r="X110" s="160">
        <f t="shared" si="81"/>
        <v>1.0000086717802155</v>
      </c>
      <c r="Y110" s="160">
        <f t="shared" si="82"/>
        <v>-4.1645450050484751E-3</v>
      </c>
      <c r="Z110" s="98" t="str">
        <f t="shared" si="71"/>
        <v>0.999999857059717+0.000494532281741389i</v>
      </c>
      <c r="AA110" s="160">
        <f t="shared" si="83"/>
        <v>0.99999997934081586</v>
      </c>
      <c r="AB110" s="160">
        <f t="shared" si="84"/>
        <v>4.9453231211534149E-4</v>
      </c>
      <c r="AC110" s="171" t="e">
        <f t="shared" si="85"/>
        <v>#DIV/0!</v>
      </c>
      <c r="AD110" s="190" t="e">
        <f t="shared" si="86"/>
        <v>#DIV/0!</v>
      </c>
      <c r="AE110" s="169" t="e">
        <f t="shared" si="87"/>
        <v>#DIV/0!</v>
      </c>
      <c r="AF110" s="98" t="str">
        <f t="shared" si="72"/>
        <v>-0.0000182926829268293</v>
      </c>
      <c r="AG110" s="98" t="str">
        <f t="shared" si="73"/>
        <v>0.0000116124517623245i</v>
      </c>
      <c r="AH110" s="98">
        <f t="shared" si="88"/>
        <v>1.16124517623245E-5</v>
      </c>
      <c r="AI110" s="98">
        <f t="shared" si="89"/>
        <v>1.5707963267948966</v>
      </c>
      <c r="AJ110" s="98" t="str">
        <f t="shared" si="74"/>
        <v>1+0.00113836405865351i</v>
      </c>
      <c r="AK110" s="98">
        <f t="shared" si="90"/>
        <v>1.0000006479361552</v>
      </c>
      <c r="AL110" s="98">
        <f t="shared" si="91"/>
        <v>1.1383635669289121E-3</v>
      </c>
      <c r="AM110" s="98" t="str">
        <f t="shared" si="75"/>
        <v>1+0.114974769924005i</v>
      </c>
      <c r="AN110" s="98">
        <f t="shared" si="92"/>
        <v>1.0065878986551935</v>
      </c>
      <c r="AO110" s="98">
        <f t="shared" si="93"/>
        <v>0.11447212593275052</v>
      </c>
      <c r="AP110" s="168" t="str">
        <f t="shared" si="94"/>
        <v>-0.179322215683473+1.57546862601491i</v>
      </c>
      <c r="AQ110" s="98">
        <f t="shared" si="95"/>
        <v>4.0040981451127875</v>
      </c>
      <c r="AR110" s="169">
        <f t="shared" si="96"/>
        <v>96.493546259900199</v>
      </c>
      <c r="AS110" s="168" t="e">
        <f t="shared" si="97"/>
        <v>#DIV/0!</v>
      </c>
      <c r="AT110" s="190" t="e">
        <f t="shared" si="98"/>
        <v>#DIV/0!</v>
      </c>
      <c r="AU110" s="169" t="e">
        <f t="shared" si="99"/>
        <v>#DIV/0!</v>
      </c>
      <c r="AV110" s="225"/>
      <c r="AX110" t="e">
        <f t="shared" si="100"/>
        <v>#DIV/0!</v>
      </c>
      <c r="AY110" t="e">
        <f t="shared" si="101"/>
        <v>#DIV/0!</v>
      </c>
    </row>
    <row r="111" spans="14:51" x14ac:dyDescent="0.25">
      <c r="N111" s="170">
        <v>93</v>
      </c>
      <c r="O111" s="199">
        <f t="shared" si="76"/>
        <v>85.113803820237734</v>
      </c>
      <c r="P111" s="189" t="str">
        <f t="shared" si="67"/>
        <v>290</v>
      </c>
      <c r="Q111" s="160" t="e">
        <f t="shared" si="68"/>
        <v>#DIV/0!</v>
      </c>
      <c r="R111" s="160" t="e">
        <f t="shared" si="77"/>
        <v>#DIV/0!</v>
      </c>
      <c r="S111" s="160" t="e">
        <f t="shared" si="78"/>
        <v>#DIV/0!</v>
      </c>
      <c r="T111" s="160" t="e">
        <f t="shared" si="69"/>
        <v>#DIV/0!</v>
      </c>
      <c r="U111" s="160" t="e">
        <f t="shared" si="79"/>
        <v>#DIV/0!</v>
      </c>
      <c r="V111" s="160" t="e">
        <f t="shared" si="80"/>
        <v>#DIV/0!</v>
      </c>
      <c r="W111" s="98" t="str">
        <f t="shared" si="70"/>
        <v>1-0.00426157435651184i</v>
      </c>
      <c r="X111" s="160">
        <f t="shared" si="81"/>
        <v>1.0000090804667707</v>
      </c>
      <c r="Y111" s="160">
        <f t="shared" si="82"/>
        <v>-4.2615485586195963E-3</v>
      </c>
      <c r="Z111" s="98" t="str">
        <f t="shared" si="71"/>
        <v>0.999999850323149+0.000506051418362575i</v>
      </c>
      <c r="AA111" s="160">
        <f t="shared" si="83"/>
        <v>0.99999997836717891</v>
      </c>
      <c r="AB111" s="160">
        <f t="shared" si="84"/>
        <v>5.0605145090885147E-4</v>
      </c>
      <c r="AC111" s="171" t="e">
        <f t="shared" si="85"/>
        <v>#DIV/0!</v>
      </c>
      <c r="AD111" s="190" t="e">
        <f t="shared" si="86"/>
        <v>#DIV/0!</v>
      </c>
      <c r="AE111" s="169" t="e">
        <f t="shared" si="87"/>
        <v>#DIV/0!</v>
      </c>
      <c r="AF111" s="98" t="str">
        <f t="shared" si="72"/>
        <v>-0.0000182926829268293</v>
      </c>
      <c r="AG111" s="98" t="str">
        <f t="shared" si="73"/>
        <v>0.000011882940511585i</v>
      </c>
      <c r="AH111" s="98">
        <f t="shared" si="88"/>
        <v>1.1882940511585E-5</v>
      </c>
      <c r="AI111" s="98">
        <f t="shared" si="89"/>
        <v>1.5707963267948966</v>
      </c>
      <c r="AJ111" s="98" t="str">
        <f t="shared" si="74"/>
        <v>1+0.00116487996388442i</v>
      </c>
      <c r="AK111" s="98">
        <f t="shared" si="90"/>
        <v>1.0000006784724349</v>
      </c>
      <c r="AL111" s="98">
        <f t="shared" si="91"/>
        <v>1.1648794369920397E-3</v>
      </c>
      <c r="AM111" s="98" t="str">
        <f t="shared" si="75"/>
        <v>1+0.117652876352326i</v>
      </c>
      <c r="AN111" s="98">
        <f t="shared" si="92"/>
        <v>1.0068973131923511</v>
      </c>
      <c r="AO111" s="98">
        <f t="shared" si="93"/>
        <v>0.11711448267159884</v>
      </c>
      <c r="AP111" s="168" t="str">
        <f t="shared" si="94"/>
        <v>-0.179322204731812+1.53961598332434i</v>
      </c>
      <c r="AQ111" s="98">
        <f t="shared" si="95"/>
        <v>3.8067674207593356</v>
      </c>
      <c r="AR111" s="169">
        <f t="shared" si="96"/>
        <v>96.643422901559404</v>
      </c>
      <c r="AS111" s="168" t="e">
        <f t="shared" si="97"/>
        <v>#DIV/0!</v>
      </c>
      <c r="AT111" s="190" t="e">
        <f t="shared" si="98"/>
        <v>#DIV/0!</v>
      </c>
      <c r="AU111" s="169" t="e">
        <f t="shared" si="99"/>
        <v>#DIV/0!</v>
      </c>
      <c r="AV111" s="225"/>
      <c r="AX111" t="e">
        <f t="shared" si="100"/>
        <v>#DIV/0!</v>
      </c>
      <c r="AY111" t="e">
        <f t="shared" si="101"/>
        <v>#DIV/0!</v>
      </c>
    </row>
    <row r="112" spans="14:51" x14ac:dyDescent="0.25">
      <c r="N112" s="170">
        <v>94</v>
      </c>
      <c r="O112" s="199">
        <f t="shared" si="76"/>
        <v>87.096358995608071</v>
      </c>
      <c r="P112" s="189" t="str">
        <f t="shared" si="67"/>
        <v>290</v>
      </c>
      <c r="Q112" s="160" t="e">
        <f t="shared" si="68"/>
        <v>#DIV/0!</v>
      </c>
      <c r="R112" s="160" t="e">
        <f t="shared" si="77"/>
        <v>#DIV/0!</v>
      </c>
      <c r="S112" s="160" t="e">
        <f t="shared" si="78"/>
        <v>#DIV/0!</v>
      </c>
      <c r="T112" s="160" t="e">
        <f t="shared" si="69"/>
        <v>#DIV/0!</v>
      </c>
      <c r="U112" s="160" t="e">
        <f t="shared" si="79"/>
        <v>#DIV/0!</v>
      </c>
      <c r="V112" s="160" t="e">
        <f t="shared" si="80"/>
        <v>#DIV/0!</v>
      </c>
      <c r="W112" s="98" t="str">
        <f t="shared" si="70"/>
        <v>1-0.00436083917510192i</v>
      </c>
      <c r="X112" s="160">
        <f t="shared" si="81"/>
        <v>1.0000095084139506</v>
      </c>
      <c r="Y112" s="160">
        <f t="shared" si="82"/>
        <v>-4.3608115321765424E-3</v>
      </c>
      <c r="Z112" s="98" t="str">
        <f t="shared" si="71"/>
        <v>0.999999843269096+0.000517838870144158i</v>
      </c>
      <c r="AA112" s="160">
        <f t="shared" si="83"/>
        <v>0.99999997734765589</v>
      </c>
      <c r="AB112" s="160">
        <f t="shared" si="84"/>
        <v>5.178389050181216E-4</v>
      </c>
      <c r="AC112" s="171" t="e">
        <f t="shared" si="85"/>
        <v>#DIV/0!</v>
      </c>
      <c r="AD112" s="190" t="e">
        <f t="shared" si="86"/>
        <v>#DIV/0!</v>
      </c>
      <c r="AE112" s="169" t="e">
        <f t="shared" si="87"/>
        <v>#DIV/0!</v>
      </c>
      <c r="AF112" s="98" t="str">
        <f t="shared" si="72"/>
        <v>-0.0000182926829268293</v>
      </c>
      <c r="AG112" s="98" t="str">
        <f t="shared" si="73"/>
        <v>0.000012159729753194i</v>
      </c>
      <c r="AH112" s="98">
        <f t="shared" si="88"/>
        <v>1.2159729753194E-5</v>
      </c>
      <c r="AI112" s="98">
        <f t="shared" si="89"/>
        <v>1.5707963267948966</v>
      </c>
      <c r="AJ112" s="98" t="str">
        <f t="shared" si="74"/>
        <v>1+0.00119201350389118i</v>
      </c>
      <c r="AK112" s="98">
        <f t="shared" si="90"/>
        <v>1.0000007104478443</v>
      </c>
      <c r="AL112" s="98">
        <f t="shared" si="91"/>
        <v>1.1920129393158446E-3</v>
      </c>
      <c r="AM112" s="98" t="str">
        <f t="shared" si="75"/>
        <v>1+0.120393363893009i</v>
      </c>
      <c r="AN112" s="98">
        <f t="shared" si="92"/>
        <v>1.0072212081114429</v>
      </c>
      <c r="AO112" s="98">
        <f t="shared" si="93"/>
        <v>0.11981668781793899</v>
      </c>
      <c r="AP112" s="168" t="str">
        <f t="shared" si="94"/>
        <v>-0.179322193264019+1.50457966540616i</v>
      </c>
      <c r="AQ112" s="98">
        <f t="shared" si="95"/>
        <v>3.609560737856397</v>
      </c>
      <c r="AR112" s="169">
        <f t="shared" si="96"/>
        <v>96.796693216656692</v>
      </c>
      <c r="AS112" s="168" t="e">
        <f t="shared" si="97"/>
        <v>#DIV/0!</v>
      </c>
      <c r="AT112" s="190" t="e">
        <f t="shared" si="98"/>
        <v>#DIV/0!</v>
      </c>
      <c r="AU112" s="169" t="e">
        <f t="shared" si="99"/>
        <v>#DIV/0!</v>
      </c>
      <c r="AV112" s="225"/>
      <c r="AX112" t="e">
        <f t="shared" si="100"/>
        <v>#DIV/0!</v>
      </c>
      <c r="AY112" t="e">
        <f t="shared" si="101"/>
        <v>#DIV/0!</v>
      </c>
    </row>
    <row r="113" spans="14:51" x14ac:dyDescent="0.25">
      <c r="N113" s="170">
        <v>95</v>
      </c>
      <c r="O113" s="199">
        <f t="shared" si="76"/>
        <v>89.125093813374562</v>
      </c>
      <c r="P113" s="189" t="str">
        <f t="shared" si="67"/>
        <v>290</v>
      </c>
      <c r="Q113" s="160" t="e">
        <f t="shared" si="68"/>
        <v>#DIV/0!</v>
      </c>
      <c r="R113" s="160" t="e">
        <f t="shared" si="77"/>
        <v>#DIV/0!</v>
      </c>
      <c r="S113" s="160" t="e">
        <f t="shared" si="78"/>
        <v>#DIV/0!</v>
      </c>
      <c r="T113" s="160" t="e">
        <f t="shared" si="69"/>
        <v>#DIV/0!</v>
      </c>
      <c r="U113" s="160" t="e">
        <f t="shared" si="79"/>
        <v>#DIV/0!</v>
      </c>
      <c r="V113" s="160" t="e">
        <f t="shared" si="80"/>
        <v>#DIV/0!</v>
      </c>
      <c r="W113" s="98" t="str">
        <f t="shared" si="70"/>
        <v>1-0.00446241616834518i</v>
      </c>
      <c r="X113" s="160">
        <f t="shared" si="81"/>
        <v>1.0000099565294636</v>
      </c>
      <c r="Y113" s="160">
        <f t="shared" si="82"/>
        <v>-4.4623865484329124E-3</v>
      </c>
      <c r="Z113" s="98" t="str">
        <f t="shared" si="71"/>
        <v>0.999999835882596+0.0005299008869491i</v>
      </c>
      <c r="AA113" s="160">
        <f t="shared" si="83"/>
        <v>0.99999997628008408</v>
      </c>
      <c r="AB113" s="160">
        <f t="shared" si="84"/>
        <v>5.2990092431722511E-4</v>
      </c>
      <c r="AC113" s="171" t="e">
        <f t="shared" si="85"/>
        <v>#DIV/0!</v>
      </c>
      <c r="AD113" s="190" t="e">
        <f t="shared" si="86"/>
        <v>#DIV/0!</v>
      </c>
      <c r="AE113" s="169" t="e">
        <f t="shared" si="87"/>
        <v>#DIV/0!</v>
      </c>
      <c r="AF113" s="98" t="str">
        <f t="shared" si="72"/>
        <v>-0.0000182926829268293</v>
      </c>
      <c r="AG113" s="98" t="str">
        <f t="shared" si="73"/>
        <v>0.0000124429662444712i</v>
      </c>
      <c r="AH113" s="98">
        <f t="shared" si="88"/>
        <v>1.2442966244471199E-5</v>
      </c>
      <c r="AI113" s="98">
        <f t="shared" si="89"/>
        <v>1.5707963267948966</v>
      </c>
      <c r="AJ113" s="98" t="str">
        <f t="shared" si="74"/>
        <v>1+0.00121977906523587i</v>
      </c>
      <c r="AK113" s="98">
        <f t="shared" si="90"/>
        <v>1.0000007439302072</v>
      </c>
      <c r="AL113" s="98">
        <f t="shared" si="91"/>
        <v>1.219778460282523E-3</v>
      </c>
      <c r="AM113" s="98" t="str">
        <f t="shared" si="75"/>
        <v>1+0.123197685588823i</v>
      </c>
      <c r="AN113" s="98">
        <f t="shared" si="92"/>
        <v>1.0075602561308394</v>
      </c>
      <c r="AO113" s="98">
        <f t="shared" si="93"/>
        <v>0.1225800161816631</v>
      </c>
      <c r="AP113" s="168" t="str">
        <f t="shared" si="94"/>
        <v>-0.179322181255767+1.47034109554076i</v>
      </c>
      <c r="AQ113" s="98">
        <f t="shared" si="95"/>
        <v>3.4124837752034014</v>
      </c>
      <c r="AR113" s="169">
        <f t="shared" si="96"/>
        <v>96.953429422139479</v>
      </c>
      <c r="AS113" s="168" t="e">
        <f t="shared" si="97"/>
        <v>#DIV/0!</v>
      </c>
      <c r="AT113" s="190" t="e">
        <f t="shared" si="98"/>
        <v>#DIV/0!</v>
      </c>
      <c r="AU113" s="169" t="e">
        <f t="shared" si="99"/>
        <v>#DIV/0!</v>
      </c>
      <c r="AV113" s="225"/>
      <c r="AX113" t="e">
        <f t="shared" si="100"/>
        <v>#DIV/0!</v>
      </c>
      <c r="AY113" t="e">
        <f t="shared" si="101"/>
        <v>#DIV/0!</v>
      </c>
    </row>
    <row r="114" spans="14:51" x14ac:dyDescent="0.25">
      <c r="N114" s="170">
        <v>96</v>
      </c>
      <c r="O114" s="199">
        <f t="shared" si="76"/>
        <v>91.201083935590972</v>
      </c>
      <c r="P114" s="189" t="str">
        <f t="shared" si="67"/>
        <v>290</v>
      </c>
      <c r="Q114" s="160" t="e">
        <f t="shared" si="68"/>
        <v>#DIV/0!</v>
      </c>
      <c r="R114" s="160" t="e">
        <f t="shared" si="77"/>
        <v>#DIV/0!</v>
      </c>
      <c r="S114" s="160" t="e">
        <f t="shared" si="78"/>
        <v>#DIV/0!</v>
      </c>
      <c r="T114" s="160" t="e">
        <f t="shared" si="69"/>
        <v>#DIV/0!</v>
      </c>
      <c r="U114" s="160" t="e">
        <f t="shared" si="79"/>
        <v>#DIV/0!</v>
      </c>
      <c r="V114" s="160" t="e">
        <f t="shared" si="80"/>
        <v>#DIV/0!</v>
      </c>
      <c r="W114" s="98" t="str">
        <f t="shared" si="70"/>
        <v>1-0.00456635919370795i</v>
      </c>
      <c r="X114" s="160">
        <f t="shared" si="81"/>
        <v>1.0000104257637947</v>
      </c>
      <c r="Y114" s="160">
        <f t="shared" si="82"/>
        <v>-4.5663274554180065E-3</v>
      </c>
      <c r="Z114" s="98" t="str">
        <f t="shared" si="71"/>
        <v>0.999999828147981+0.00054224386421837i</v>
      </c>
      <c r="AA114" s="160">
        <f t="shared" si="83"/>
        <v>0.99999997516219963</v>
      </c>
      <c r="AB114" s="160">
        <f t="shared" si="84"/>
        <v>5.4224390425903742E-4</v>
      </c>
      <c r="AC114" s="171" t="e">
        <f t="shared" si="85"/>
        <v>#DIV/0!</v>
      </c>
      <c r="AD114" s="190" t="e">
        <f t="shared" si="86"/>
        <v>#DIV/0!</v>
      </c>
      <c r="AE114" s="169" t="e">
        <f t="shared" si="87"/>
        <v>#DIV/0!</v>
      </c>
      <c r="AF114" s="98" t="str">
        <f t="shared" si="72"/>
        <v>-0.0000182926829268293</v>
      </c>
      <c r="AG114" s="98" t="str">
        <f t="shared" si="73"/>
        <v>0.0000127328001611533i</v>
      </c>
      <c r="AH114" s="98">
        <f t="shared" si="88"/>
        <v>1.27328001611533E-5</v>
      </c>
      <c r="AI114" s="98">
        <f t="shared" si="89"/>
        <v>1.5707963267948966</v>
      </c>
      <c r="AJ114" s="98" t="str">
        <f t="shared" si="74"/>
        <v>1+0.00124819136958664i</v>
      </c>
      <c r="AK114" s="98">
        <f t="shared" si="90"/>
        <v>1.0000007789905443</v>
      </c>
      <c r="AL114" s="98">
        <f t="shared" si="91"/>
        <v>1.2481907213674774E-3</v>
      </c>
      <c r="AM114" s="98" t="str">
        <f t="shared" si="75"/>
        <v>1+0.12606732832825i</v>
      </c>
      <c r="AN114" s="98">
        <f t="shared" si="92"/>
        <v>1.0079151607510539</v>
      </c>
      <c r="AO114" s="98">
        <f t="shared" si="93"/>
        <v>0.12540576401967574</v>
      </c>
      <c r="AP114" s="168" t="str">
        <f t="shared" si="94"/>
        <v>-0.179322168681585+1.4368821199851i</v>
      </c>
      <c r="AQ114" s="98">
        <f t="shared" si="95"/>
        <v>3.215542463474121</v>
      </c>
      <c r="AR114" s="169">
        <f t="shared" si="96"/>
        <v>97.113704944579226</v>
      </c>
      <c r="AS114" s="168" t="e">
        <f t="shared" si="97"/>
        <v>#DIV/0!</v>
      </c>
      <c r="AT114" s="190" t="e">
        <f t="shared" si="98"/>
        <v>#DIV/0!</v>
      </c>
      <c r="AU114" s="169" t="e">
        <f t="shared" si="99"/>
        <v>#DIV/0!</v>
      </c>
      <c r="AV114" s="225"/>
      <c r="AX114" t="e">
        <f t="shared" si="100"/>
        <v>#DIV/0!</v>
      </c>
      <c r="AY114" t="e">
        <f t="shared" si="101"/>
        <v>#DIV/0!</v>
      </c>
    </row>
    <row r="115" spans="14:51" x14ac:dyDescent="0.25">
      <c r="N115" s="170">
        <v>97</v>
      </c>
      <c r="O115" s="199">
        <f t="shared" si="76"/>
        <v>93.325430079699174</v>
      </c>
      <c r="P115" s="189" t="str">
        <f t="shared" si="67"/>
        <v>290</v>
      </c>
      <c r="Q115" s="160" t="e">
        <f t="shared" si="68"/>
        <v>#DIV/0!</v>
      </c>
      <c r="R115" s="160" t="e">
        <f t="shared" si="77"/>
        <v>#DIV/0!</v>
      </c>
      <c r="S115" s="160" t="e">
        <f t="shared" si="78"/>
        <v>#DIV/0!</v>
      </c>
      <c r="T115" s="160" t="e">
        <f t="shared" si="69"/>
        <v>#DIV/0!</v>
      </c>
      <c r="U115" s="160" t="e">
        <f t="shared" si="79"/>
        <v>#DIV/0!</v>
      </c>
      <c r="V115" s="160" t="e">
        <f t="shared" si="80"/>
        <v>#DIV/0!</v>
      </c>
      <c r="W115" s="98" t="str">
        <f t="shared" si="70"/>
        <v>1-0.00467272336315815i</v>
      </c>
      <c r="X115" s="160">
        <f t="shared" si="81"/>
        <v>1.0000109171122227</v>
      </c>
      <c r="Y115" s="160">
        <f t="shared" si="82"/>
        <v>-4.6726893549878124E-3</v>
      </c>
      <c r="Z115" s="98" t="str">
        <f t="shared" si="71"/>
        <v>0.999999820048845+0.000554874346361896i</v>
      </c>
      <c r="AA115" s="160">
        <f t="shared" si="83"/>
        <v>0.99999997399163087</v>
      </c>
      <c r="AB115" s="160">
        <f t="shared" si="84"/>
        <v>5.5487438926624393E-4</v>
      </c>
      <c r="AC115" s="171" t="e">
        <f t="shared" si="85"/>
        <v>#DIV/0!</v>
      </c>
      <c r="AD115" s="190" t="e">
        <f t="shared" si="86"/>
        <v>#DIV/0!</v>
      </c>
      <c r="AE115" s="169" t="e">
        <f t="shared" si="87"/>
        <v>#DIV/0!</v>
      </c>
      <c r="AF115" s="98" t="str">
        <f t="shared" si="72"/>
        <v>-0.0000182926829268293</v>
      </c>
      <c r="AG115" s="98" t="str">
        <f t="shared" si="73"/>
        <v>0.0000130293851770195i</v>
      </c>
      <c r="AH115" s="98">
        <f t="shared" si="88"/>
        <v>1.30293851770195E-5</v>
      </c>
      <c r="AI115" s="98">
        <f t="shared" si="89"/>
        <v>1.5707963267948966</v>
      </c>
      <c r="AJ115" s="98" t="str">
        <f t="shared" si="74"/>
        <v>1+0.00127726548152333i</v>
      </c>
      <c r="AK115" s="98">
        <f t="shared" si="90"/>
        <v>1.0000008157032225</v>
      </c>
      <c r="AL115" s="98">
        <f t="shared" si="91"/>
        <v>1.2772647869440138E-3</v>
      </c>
      <c r="AM115" s="98" t="str">
        <f t="shared" si="75"/>
        <v>1+0.129003813633856i</v>
      </c>
      <c r="AN115" s="98">
        <f t="shared" si="92"/>
        <v>1.0082866576187937</v>
      </c>
      <c r="AO115" s="98">
        <f t="shared" si="93"/>
        <v>0.12829524897899725</v>
      </c>
      <c r="AP115" s="168" t="str">
        <f t="shared" si="94"/>
        <v>-0.179322155514802+1.40418499834734i</v>
      </c>
      <c r="AQ115" s="98">
        <f t="shared" si="95"/>
        <v>3.0187429956191241</v>
      </c>
      <c r="AR115" s="169">
        <f t="shared" si="96"/>
        <v>97.277594416464083</v>
      </c>
      <c r="AS115" s="168" t="e">
        <f t="shared" si="97"/>
        <v>#DIV/0!</v>
      </c>
      <c r="AT115" s="190" t="e">
        <f t="shared" si="98"/>
        <v>#DIV/0!</v>
      </c>
      <c r="AU115" s="169" t="e">
        <f t="shared" si="99"/>
        <v>#DIV/0!</v>
      </c>
      <c r="AV115" s="225"/>
      <c r="AX115" t="e">
        <f t="shared" si="100"/>
        <v>#DIV/0!</v>
      </c>
      <c r="AY115" t="e">
        <f t="shared" si="101"/>
        <v>#DIV/0!</v>
      </c>
    </row>
    <row r="116" spans="14:51" x14ac:dyDescent="0.25">
      <c r="N116" s="170">
        <v>98</v>
      </c>
      <c r="O116" s="199">
        <f t="shared" si="76"/>
        <v>95.499258602143655</v>
      </c>
      <c r="P116" s="189" t="str">
        <f t="shared" si="67"/>
        <v>290</v>
      </c>
      <c r="Q116" s="160" t="e">
        <f t="shared" si="68"/>
        <v>#DIV/0!</v>
      </c>
      <c r="R116" s="160" t="e">
        <f t="shared" si="77"/>
        <v>#DIV/0!</v>
      </c>
      <c r="S116" s="160" t="e">
        <f t="shared" si="78"/>
        <v>#DIV/0!</v>
      </c>
      <c r="T116" s="160" t="e">
        <f t="shared" si="69"/>
        <v>#DIV/0!</v>
      </c>
      <c r="U116" s="160" t="e">
        <f t="shared" si="79"/>
        <v>#DIV/0!</v>
      </c>
      <c r="V116" s="160" t="e">
        <f t="shared" si="80"/>
        <v>#DIV/0!</v>
      </c>
      <c r="W116" s="98" t="str">
        <f t="shared" si="70"/>
        <v>1-0.00478156507238629i</v>
      </c>
      <c r="X116" s="160">
        <f t="shared" si="81"/>
        <v>1.0000114316169297</v>
      </c>
      <c r="Y116" s="160">
        <f t="shared" si="82"/>
        <v>-4.7815286319977364E-3</v>
      </c>
      <c r="Z116" s="98" t="str">
        <f t="shared" si="71"/>
        <v>0.999999811568008+0.000567799030228492i</v>
      </c>
      <c r="AA116" s="160">
        <f t="shared" si="83"/>
        <v>0.99999997276589458</v>
      </c>
      <c r="AB116" s="160">
        <f t="shared" si="84"/>
        <v>5.6779907620132923E-4</v>
      </c>
      <c r="AC116" s="171" t="e">
        <f t="shared" si="85"/>
        <v>#DIV/0!</v>
      </c>
      <c r="AD116" s="190" t="e">
        <f t="shared" si="86"/>
        <v>#DIV/0!</v>
      </c>
      <c r="AE116" s="169" t="e">
        <f t="shared" si="87"/>
        <v>#DIV/0!</v>
      </c>
      <c r="AF116" s="98" t="str">
        <f t="shared" si="72"/>
        <v>-0.0000182926829268293</v>
      </c>
      <c r="AG116" s="98" t="str">
        <f t="shared" si="73"/>
        <v>0.0000133328785453707i</v>
      </c>
      <c r="AH116" s="98">
        <f t="shared" si="88"/>
        <v>1.33328785453707E-5</v>
      </c>
      <c r="AI116" s="98">
        <f t="shared" si="89"/>
        <v>1.5707963267948966</v>
      </c>
      <c r="AJ116" s="98" t="str">
        <f t="shared" si="74"/>
        <v>1+0.00130701681652492i</v>
      </c>
      <c r="AK116" s="98">
        <f t="shared" si="90"/>
        <v>1.0000008541461145</v>
      </c>
      <c r="AL116" s="98">
        <f t="shared" si="91"/>
        <v>1.307016072269808E-3</v>
      </c>
      <c r="AM116" s="98" t="str">
        <f t="shared" si="75"/>
        <v>1+0.132008698469017i</v>
      </c>
      <c r="AN116" s="98">
        <f t="shared" si="92"/>
        <v>1.0086755159472662</v>
      </c>
      <c r="AO116" s="98">
        <f t="shared" si="93"/>
        <v>0.13124981000265418</v>
      </c>
      <c r="AP116" s="168" t="str">
        <f t="shared" si="94"/>
        <v>-0.17932214172749+1.37223239418073i</v>
      </c>
      <c r="AQ116" s="98">
        <f t="shared" si="95"/>
        <v>2.8220918376249662</v>
      </c>
      <c r="AR116" s="169">
        <f t="shared" si="96"/>
        <v>97.445173670349192</v>
      </c>
      <c r="AS116" s="168" t="e">
        <f t="shared" si="97"/>
        <v>#DIV/0!</v>
      </c>
      <c r="AT116" s="190" t="e">
        <f t="shared" si="98"/>
        <v>#DIV/0!</v>
      </c>
      <c r="AU116" s="169" t="e">
        <f t="shared" si="99"/>
        <v>#DIV/0!</v>
      </c>
      <c r="AV116" s="225"/>
      <c r="AX116" t="e">
        <f t="shared" si="100"/>
        <v>#DIV/0!</v>
      </c>
      <c r="AY116" t="e">
        <f t="shared" si="101"/>
        <v>#DIV/0!</v>
      </c>
    </row>
    <row r="117" spans="14:51" x14ac:dyDescent="0.25">
      <c r="N117" s="170">
        <v>99</v>
      </c>
      <c r="O117" s="199">
        <f t="shared" si="76"/>
        <v>97.723722095581124</v>
      </c>
      <c r="P117" s="189" t="str">
        <f t="shared" si="67"/>
        <v>290</v>
      </c>
      <c r="Q117" s="160" t="e">
        <f t="shared" si="68"/>
        <v>#DIV/0!</v>
      </c>
      <c r="R117" s="160" t="e">
        <f t="shared" si="77"/>
        <v>#DIV/0!</v>
      </c>
      <c r="S117" s="160" t="e">
        <f t="shared" si="78"/>
        <v>#DIV/0!</v>
      </c>
      <c r="T117" s="160" t="e">
        <f t="shared" si="69"/>
        <v>#DIV/0!</v>
      </c>
      <c r="U117" s="160" t="e">
        <f t="shared" si="79"/>
        <v>#DIV/0!</v>
      </c>
      <c r="V117" s="160" t="e">
        <f t="shared" si="80"/>
        <v>#DIV/0!</v>
      </c>
      <c r="W117" s="98" t="str">
        <f t="shared" si="70"/>
        <v>1-0.0048929420307073i</v>
      </c>
      <c r="X117" s="160">
        <f t="shared" si="81"/>
        <v>1.000011970369213</v>
      </c>
      <c r="Y117" s="160">
        <f t="shared" si="82"/>
        <v>-4.8929029841527178E-3</v>
      </c>
      <c r="Z117" s="98" t="str">
        <f t="shared" si="71"/>
        <v>0.999999802687482+0.000581024768656624i</v>
      </c>
      <c r="AA117" s="160">
        <f t="shared" si="83"/>
        <v>0.99999997148239184</v>
      </c>
      <c r="AB117" s="160">
        <f t="shared" si="84"/>
        <v>5.810248179174063E-4</v>
      </c>
      <c r="AC117" s="171" t="e">
        <f t="shared" si="85"/>
        <v>#DIV/0!</v>
      </c>
      <c r="AD117" s="190" t="e">
        <f t="shared" si="86"/>
        <v>#DIV/0!</v>
      </c>
      <c r="AE117" s="169" t="e">
        <f t="shared" si="87"/>
        <v>#DIV/0!</v>
      </c>
      <c r="AF117" s="98" t="str">
        <f t="shared" si="72"/>
        <v>-0.0000182926829268293</v>
      </c>
      <c r="AG117" s="98" t="str">
        <f t="shared" si="73"/>
        <v>0.0000136434411824083i</v>
      </c>
      <c r="AH117" s="98">
        <f t="shared" si="88"/>
        <v>1.3643441182408301E-5</v>
      </c>
      <c r="AI117" s="98">
        <f t="shared" si="89"/>
        <v>1.5707963267948966</v>
      </c>
      <c r="AJ117" s="98" t="str">
        <f t="shared" si="74"/>
        <v>1+0.00133746114914305i</v>
      </c>
      <c r="AK117" s="98">
        <f t="shared" si="90"/>
        <v>1.0000008944007628</v>
      </c>
      <c r="AL117" s="98">
        <f t="shared" si="91"/>
        <v>1.337460351659368E-3</v>
      </c>
      <c r="AM117" s="98" t="str">
        <f t="shared" si="75"/>
        <v>1+0.135083576063448i</v>
      </c>
      <c r="AN117" s="98">
        <f t="shared" si="92"/>
        <v>1.0090825399946672</v>
      </c>
      <c r="AO117" s="98">
        <f t="shared" si="93"/>
        <v>0.13427080719539652</v>
      </c>
      <c r="AP117" s="168" t="str">
        <f t="shared" si="94"/>
        <v>-0.179322127290403+1.34100736579144i</v>
      </c>
      <c r="AQ117" s="98">
        <f t="shared" si="95"/>
        <v>2.6255957396330514</v>
      </c>
      <c r="AR117" s="169">
        <f t="shared" si="96"/>
        <v>97.616519730694876</v>
      </c>
      <c r="AS117" s="168" t="e">
        <f t="shared" si="97"/>
        <v>#DIV/0!</v>
      </c>
      <c r="AT117" s="190" t="e">
        <f t="shared" si="98"/>
        <v>#DIV/0!</v>
      </c>
      <c r="AU117" s="169" t="e">
        <f t="shared" si="99"/>
        <v>#DIV/0!</v>
      </c>
      <c r="AV117" s="225"/>
      <c r="AX117" t="e">
        <f t="shared" si="100"/>
        <v>#DIV/0!</v>
      </c>
      <c r="AY117" t="e">
        <f t="shared" si="101"/>
        <v>#DIV/0!</v>
      </c>
    </row>
    <row r="118" spans="14:51" x14ac:dyDescent="0.25">
      <c r="N118" s="170">
        <v>100</v>
      </c>
      <c r="O118" s="199">
        <f t="shared" si="76"/>
        <v>100</v>
      </c>
      <c r="P118" s="189" t="str">
        <f t="shared" si="67"/>
        <v>290</v>
      </c>
      <c r="Q118" s="160" t="e">
        <f t="shared" si="68"/>
        <v>#DIV/0!</v>
      </c>
      <c r="R118" s="160" t="e">
        <f t="shared" si="77"/>
        <v>#DIV/0!</v>
      </c>
      <c r="S118" s="160" t="e">
        <f t="shared" si="78"/>
        <v>#DIV/0!</v>
      </c>
      <c r="T118" s="160" t="e">
        <f t="shared" si="69"/>
        <v>#DIV/0!</v>
      </c>
      <c r="U118" s="160" t="e">
        <f t="shared" si="79"/>
        <v>#DIV/0!</v>
      </c>
      <c r="V118" s="160" t="e">
        <f t="shared" si="80"/>
        <v>#DIV/0!</v>
      </c>
      <c r="W118" s="98" t="str">
        <f t="shared" si="70"/>
        <v>1-0.00500691329165875i</v>
      </c>
      <c r="X118" s="160">
        <f t="shared" si="81"/>
        <v>1.0000125345117981</v>
      </c>
      <c r="Y118" s="160">
        <f t="shared" si="82"/>
        <v>-5.0068714525500352E-3</v>
      </c>
      <c r="Z118" s="98" t="str">
        <f t="shared" si="71"/>
        <v>0.99999979338843+0.00059455857410787i</v>
      </c>
      <c r="AA118" s="160">
        <f t="shared" si="83"/>
        <v>0.99999997013839992</v>
      </c>
      <c r="AB118" s="160">
        <f t="shared" si="84"/>
        <v>5.9455862689174882E-4</v>
      </c>
      <c r="AC118" s="171" t="e">
        <f t="shared" si="85"/>
        <v>#DIV/0!</v>
      </c>
      <c r="AD118" s="190" t="e">
        <f t="shared" si="86"/>
        <v>#DIV/0!</v>
      </c>
      <c r="AE118" s="169" t="e">
        <f t="shared" si="87"/>
        <v>#DIV/0!</v>
      </c>
      <c r="AF118" s="98" t="str">
        <f t="shared" si="72"/>
        <v>-0.0000182926829268293</v>
      </c>
      <c r="AG118" s="98" t="str">
        <f t="shared" si="73"/>
        <v>0.000013961237752553i</v>
      </c>
      <c r="AH118" s="98">
        <f t="shared" si="88"/>
        <v>1.3961237752553001E-5</v>
      </c>
      <c r="AI118" s="98">
        <f t="shared" si="89"/>
        <v>1.5707963267948966</v>
      </c>
      <c r="AJ118" s="98" t="str">
        <f t="shared" si="74"/>
        <v>1+0.00136861462136585i</v>
      </c>
      <c r="AK118" s="98">
        <f t="shared" si="90"/>
        <v>1.0000009365525524</v>
      </c>
      <c r="AL118" s="98">
        <f t="shared" si="91"/>
        <v>1.3686137668467325E-3</v>
      </c>
      <c r="AM118" s="98" t="str">
        <f t="shared" si="75"/>
        <v>1+0.138230076757951i</v>
      </c>
      <c r="AN118" s="98">
        <f t="shared" si="92"/>
        <v>1.0095085706028002</v>
      </c>
      <c r="AO118" s="98">
        <f t="shared" si="93"/>
        <v>0.13735962164607035</v>
      </c>
      <c r="AP118" s="168" t="str">
        <f t="shared" si="94"/>
        <v>-0.179322112172922+1.31049335725602i</v>
      </c>
      <c r="AQ118" s="98">
        <f t="shared" si="95"/>
        <v>2.4292617474257852</v>
      </c>
      <c r="AR118" s="169">
        <f t="shared" si="96"/>
        <v>97.791710803209838</v>
      </c>
      <c r="AS118" s="168" t="e">
        <f t="shared" si="97"/>
        <v>#DIV/0!</v>
      </c>
      <c r="AT118" s="190" t="e">
        <f t="shared" si="98"/>
        <v>#DIV/0!</v>
      </c>
      <c r="AU118" s="169" t="e">
        <f t="shared" si="99"/>
        <v>#DIV/0!</v>
      </c>
      <c r="AV118" s="225"/>
      <c r="AX118" t="e">
        <f t="shared" si="100"/>
        <v>#DIV/0!</v>
      </c>
      <c r="AY118" t="e">
        <f t="shared" si="101"/>
        <v>#DIV/0!</v>
      </c>
    </row>
    <row r="119" spans="14:51" x14ac:dyDescent="0.25">
      <c r="N119" s="170">
        <v>1</v>
      </c>
      <c r="O119" s="199">
        <f>10^(2+(N119/100))</f>
        <v>102.32929922807544</v>
      </c>
      <c r="P119" s="189" t="str">
        <f t="shared" si="67"/>
        <v>290</v>
      </c>
      <c r="Q119" s="160" t="e">
        <f t="shared" si="68"/>
        <v>#DIV/0!</v>
      </c>
      <c r="R119" s="160" t="e">
        <f t="shared" si="77"/>
        <v>#DIV/0!</v>
      </c>
      <c r="S119" s="160" t="e">
        <f t="shared" si="78"/>
        <v>#DIV/0!</v>
      </c>
      <c r="T119" s="160" t="e">
        <f t="shared" si="69"/>
        <v>#DIV/0!</v>
      </c>
      <c r="U119" s="160" t="e">
        <f t="shared" si="79"/>
        <v>#DIV/0!</v>
      </c>
      <c r="V119" s="160" t="e">
        <f t="shared" si="80"/>
        <v>#DIV/0!</v>
      </c>
      <c r="W119" s="98" t="str">
        <f t="shared" si="70"/>
        <v>1-0.00512353928431176i</v>
      </c>
      <c r="X119" s="160">
        <f t="shared" si="81"/>
        <v>1.000013125241263</v>
      </c>
      <c r="Y119" s="160">
        <f t="shared" si="82"/>
        <v>-5.1234944529308379E-3</v>
      </c>
      <c r="Z119" s="98" t="str">
        <f t="shared" si="71"/>
        <v>0.999999783651126+0.00060840762238502i</v>
      </c>
      <c r="AA119" s="160">
        <f t="shared" si="83"/>
        <v>0.99999996873106634</v>
      </c>
      <c r="AB119" s="160">
        <f t="shared" si="84"/>
        <v>6.0840767894396544E-4</v>
      </c>
      <c r="AC119" s="171" t="e">
        <f t="shared" si="85"/>
        <v>#DIV/0!</v>
      </c>
      <c r="AD119" s="190" t="e">
        <f t="shared" si="86"/>
        <v>#DIV/0!</v>
      </c>
      <c r="AE119" s="169" t="e">
        <f t="shared" si="87"/>
        <v>#DIV/0!</v>
      </c>
      <c r="AF119" s="98" t="str">
        <f t="shared" si="72"/>
        <v>-0.0000182926829268293</v>
      </c>
      <c r="AG119" s="98" t="str">
        <f t="shared" si="73"/>
        <v>0.000014286436755753i</v>
      </c>
      <c r="AH119" s="98">
        <f t="shared" si="88"/>
        <v>1.4286436755753E-5</v>
      </c>
      <c r="AI119" s="98">
        <f t="shared" si="89"/>
        <v>1.5707963267948966</v>
      </c>
      <c r="AJ119" s="98" t="str">
        <f t="shared" si="74"/>
        <v>1+0.00140049375117665i</v>
      </c>
      <c r="AK119" s="98">
        <f t="shared" si="90"/>
        <v>1.0000009806908927</v>
      </c>
      <c r="AL119" s="98">
        <f t="shared" si="91"/>
        <v>1.4004928355429672E-3</v>
      </c>
      <c r="AM119" s="98" t="str">
        <f t="shared" si="75"/>
        <v>1+0.141449868868842i</v>
      </c>
      <c r="AN119" s="98">
        <f t="shared" si="92"/>
        <v>1.0099544867978025</v>
      </c>
      <c r="AO119" s="98">
        <f t="shared" si="93"/>
        <v>0.14051765520333262</v>
      </c>
      <c r="AP119" s="168" t="str">
        <f t="shared" si="94"/>
        <v>-0.179322096342977+1.28067418964308i</v>
      </c>
      <c r="AQ119" s="98">
        <f t="shared" si="95"/>
        <v>2.2330972142792822</v>
      </c>
      <c r="AR119" s="169">
        <f t="shared" si="96"/>
        <v>97.970826261510581</v>
      </c>
      <c r="AS119" s="168" t="e">
        <f t="shared" si="97"/>
        <v>#DIV/0!</v>
      </c>
      <c r="AT119" s="190" t="e">
        <f t="shared" si="98"/>
        <v>#DIV/0!</v>
      </c>
      <c r="AU119" s="169" t="e">
        <f t="shared" si="99"/>
        <v>#DIV/0!</v>
      </c>
      <c r="AV119" s="225"/>
      <c r="AX119" t="e">
        <f t="shared" si="100"/>
        <v>#DIV/0!</v>
      </c>
      <c r="AY119" t="e">
        <f t="shared" si="101"/>
        <v>#DIV/0!</v>
      </c>
    </row>
    <row r="120" spans="14:51" x14ac:dyDescent="0.25">
      <c r="N120" s="170">
        <v>2</v>
      </c>
      <c r="O120" s="199">
        <f t="shared" ref="O120:O183" si="102">10^(2+(N120/100))</f>
        <v>104.71285480508998</v>
      </c>
      <c r="P120" s="189" t="str">
        <f t="shared" si="67"/>
        <v>290</v>
      </c>
      <c r="Q120" s="160" t="e">
        <f t="shared" si="68"/>
        <v>#DIV/0!</v>
      </c>
      <c r="R120" s="160" t="e">
        <f t="shared" si="77"/>
        <v>#DIV/0!</v>
      </c>
      <c r="S120" s="160" t="e">
        <f t="shared" si="78"/>
        <v>#DIV/0!</v>
      </c>
      <c r="T120" s="160" t="e">
        <f t="shared" si="69"/>
        <v>#DIV/0!</v>
      </c>
      <c r="U120" s="160" t="e">
        <f t="shared" si="79"/>
        <v>#DIV/0!</v>
      </c>
      <c r="V120" s="160" t="e">
        <f t="shared" si="80"/>
        <v>#DIV/0!</v>
      </c>
      <c r="W120" s="98" t="str">
        <f t="shared" si="70"/>
        <v>1-0.00524288184531138i</v>
      </c>
      <c r="X120" s="160">
        <f t="shared" si="81"/>
        <v>1.0000137438105758</v>
      </c>
      <c r="Y120" s="160">
        <f t="shared" si="82"/>
        <v>-5.2428338076568994E-3</v>
      </c>
      <c r="Z120" s="98" t="str">
        <f t="shared" si="71"/>
        <v>0.999999773454918+0.000622579256436787i</v>
      </c>
      <c r="AA120" s="160">
        <f t="shared" si="83"/>
        <v>0.99999996725740836</v>
      </c>
      <c r="AB120" s="160">
        <f t="shared" si="84"/>
        <v>6.2257931704078854E-4</v>
      </c>
      <c r="AC120" s="171" t="e">
        <f t="shared" si="85"/>
        <v>#DIV/0!</v>
      </c>
      <c r="AD120" s="190" t="e">
        <f t="shared" si="86"/>
        <v>#DIV/0!</v>
      </c>
      <c r="AE120" s="169" t="e">
        <f t="shared" si="87"/>
        <v>#DIV/0!</v>
      </c>
      <c r="AF120" s="98" t="str">
        <f t="shared" si="72"/>
        <v>-0.0000182926829268293</v>
      </c>
      <c r="AG120" s="98" t="str">
        <f t="shared" si="73"/>
        <v>0.0000146192106168243i</v>
      </c>
      <c r="AH120" s="98">
        <f t="shared" si="88"/>
        <v>1.46192106168243E-5</v>
      </c>
      <c r="AI120" s="98">
        <f t="shared" si="89"/>
        <v>1.5707963267948966</v>
      </c>
      <c r="AJ120" s="98" t="str">
        <f t="shared" si="74"/>
        <v>1+0.00143311544131206i</v>
      </c>
      <c r="AK120" s="98">
        <f t="shared" si="90"/>
        <v>1.0000010269094068</v>
      </c>
      <c r="AL120" s="98">
        <f t="shared" si="91"/>
        <v>1.4331144601929468E-3</v>
      </c>
      <c r="AM120" s="98" t="str">
        <f t="shared" si="75"/>
        <v>1+0.144744659572517i</v>
      </c>
      <c r="AN120" s="98">
        <f t="shared" si="92"/>
        <v>1.0104212074549721</v>
      </c>
      <c r="AO120" s="98">
        <f t="shared" si="93"/>
        <v>0.14374633020120317</v>
      </c>
      <c r="AP120" s="168" t="str">
        <f t="shared" si="94"/>
        <v>-0.179322079766991+1.25153405243513i</v>
      </c>
      <c r="AQ120" s="98">
        <f t="shared" si="95"/>
        <v>2.0371098131886858</v>
      </c>
      <c r="AR120" s="169">
        <f t="shared" si="96"/>
        <v>98.153946630894637</v>
      </c>
      <c r="AS120" s="168" t="e">
        <f t="shared" si="97"/>
        <v>#DIV/0!</v>
      </c>
      <c r="AT120" s="190" t="e">
        <f t="shared" si="98"/>
        <v>#DIV/0!</v>
      </c>
      <c r="AU120" s="169" t="e">
        <f t="shared" si="99"/>
        <v>#DIV/0!</v>
      </c>
      <c r="AV120" s="225"/>
      <c r="AX120" t="e">
        <f t="shared" si="100"/>
        <v>#DIV/0!</v>
      </c>
      <c r="AY120" t="e">
        <f t="shared" si="101"/>
        <v>#DIV/0!</v>
      </c>
    </row>
    <row r="121" spans="14:51" x14ac:dyDescent="0.25">
      <c r="N121" s="170">
        <v>3</v>
      </c>
      <c r="O121" s="199">
        <f t="shared" si="102"/>
        <v>107.15193052376065</v>
      </c>
      <c r="P121" s="189" t="str">
        <f t="shared" si="67"/>
        <v>290</v>
      </c>
      <c r="Q121" s="160" t="e">
        <f t="shared" si="68"/>
        <v>#DIV/0!</v>
      </c>
      <c r="R121" s="160" t="e">
        <f t="shared" si="77"/>
        <v>#DIV/0!</v>
      </c>
      <c r="S121" s="160" t="e">
        <f t="shared" si="78"/>
        <v>#DIV/0!</v>
      </c>
      <c r="T121" s="160" t="e">
        <f t="shared" si="69"/>
        <v>#DIV/0!</v>
      </c>
      <c r="U121" s="160" t="e">
        <f t="shared" si="79"/>
        <v>#DIV/0!</v>
      </c>
      <c r="V121" s="160" t="e">
        <f t="shared" si="80"/>
        <v>#DIV/0!</v>
      </c>
      <c r="W121" s="98" t="str">
        <f t="shared" si="70"/>
        <v>1-0.00536500425166312i</v>
      </c>
      <c r="X121" s="160">
        <f t="shared" si="81"/>
        <v>1.0000143915317521</v>
      </c>
      <c r="Y121" s="160">
        <f t="shared" si="82"/>
        <v>-5.3649527784289724E-3</v>
      </c>
      <c r="Z121" s="98" t="str">
        <f t="shared" si="71"/>
        <v>0.999999762778177+0.000637080990251126i</v>
      </c>
      <c r="AA121" s="160">
        <f t="shared" si="83"/>
        <v>0.9999999657142985</v>
      </c>
      <c r="AB121" s="160">
        <f t="shared" si="84"/>
        <v>6.3708105518948358E-4</v>
      </c>
      <c r="AC121" s="171" t="e">
        <f t="shared" si="85"/>
        <v>#DIV/0!</v>
      </c>
      <c r="AD121" s="190" t="e">
        <f t="shared" si="86"/>
        <v>#DIV/0!</v>
      </c>
      <c r="AE121" s="169" t="e">
        <f t="shared" si="87"/>
        <v>#DIV/0!</v>
      </c>
      <c r="AF121" s="98" t="str">
        <f t="shared" si="72"/>
        <v>-0.0000182926829268293</v>
      </c>
      <c r="AG121" s="98" t="str">
        <f t="shared" si="73"/>
        <v>0.0000149597357768727i</v>
      </c>
      <c r="AH121" s="98">
        <f t="shared" si="88"/>
        <v>1.4959735776872699E-5</v>
      </c>
      <c r="AI121" s="98">
        <f t="shared" si="89"/>
        <v>1.5707963267948966</v>
      </c>
      <c r="AJ121" s="98" t="str">
        <f t="shared" si="74"/>
        <v>1+0.00146649698822397i</v>
      </c>
      <c r="AK121" s="98">
        <f t="shared" si="90"/>
        <v>1.0000010753061301</v>
      </c>
      <c r="AL121" s="98">
        <f t="shared" si="91"/>
        <v>1.4664959369359604E-3</v>
      </c>
      <c r="AM121" s="98" t="str">
        <f t="shared" si="75"/>
        <v>1+0.14811619581062i</v>
      </c>
      <c r="AN121" s="98">
        <f t="shared" si="92"/>
        <v>1.0109096930297039</v>
      </c>
      <c r="AO121" s="98">
        <f t="shared" si="93"/>
        <v>0.14704708913075729</v>
      </c>
      <c r="AP121" s="168" t="str">
        <f t="shared" si="94"/>
        <v>-0.179322062409808+1.22305749514555i</v>
      </c>
      <c r="AQ121" s="98">
        <f t="shared" si="95"/>
        <v>1.8413075494642095</v>
      </c>
      <c r="AR121" s="169">
        <f t="shared" si="96"/>
        <v>98.341153569016967</v>
      </c>
      <c r="AS121" s="168" t="e">
        <f t="shared" si="97"/>
        <v>#DIV/0!</v>
      </c>
      <c r="AT121" s="190" t="e">
        <f t="shared" si="98"/>
        <v>#DIV/0!</v>
      </c>
      <c r="AU121" s="169" t="e">
        <f t="shared" si="99"/>
        <v>#DIV/0!</v>
      </c>
      <c r="AV121" s="225"/>
      <c r="AX121" t="e">
        <f t="shared" si="100"/>
        <v>#DIV/0!</v>
      </c>
      <c r="AY121" t="e">
        <f t="shared" si="101"/>
        <v>#DIV/0!</v>
      </c>
    </row>
    <row r="122" spans="14:51" x14ac:dyDescent="0.25">
      <c r="N122" s="170">
        <v>4</v>
      </c>
      <c r="O122" s="199">
        <f t="shared" si="102"/>
        <v>109.64781961431861</v>
      </c>
      <c r="P122" s="189" t="str">
        <f t="shared" si="67"/>
        <v>290</v>
      </c>
      <c r="Q122" s="160" t="e">
        <f t="shared" si="68"/>
        <v>#DIV/0!</v>
      </c>
      <c r="R122" s="160" t="e">
        <f t="shared" si="77"/>
        <v>#DIV/0!</v>
      </c>
      <c r="S122" s="160" t="e">
        <f t="shared" si="78"/>
        <v>#DIV/0!</v>
      </c>
      <c r="T122" s="160" t="e">
        <f t="shared" si="69"/>
        <v>#DIV/0!</v>
      </c>
      <c r="U122" s="160" t="e">
        <f t="shared" si="79"/>
        <v>#DIV/0!</v>
      </c>
      <c r="V122" s="160" t="e">
        <f t="shared" si="80"/>
        <v>#DIV/0!</v>
      </c>
      <c r="W122" s="98" t="str">
        <f t="shared" si="70"/>
        <v>1-0.00548997125428332i</v>
      </c>
      <c r="X122" s="160">
        <f t="shared" si="81"/>
        <v>1.0000150697786374</v>
      </c>
      <c r="Y122" s="160">
        <f t="shared" si="82"/>
        <v>-5.489916099764118E-3</v>
      </c>
      <c r="Z122" s="98" t="str">
        <f t="shared" si="71"/>
        <v>0.999999751598257+0.000651920512839261i</v>
      </c>
      <c r="AA122" s="160">
        <f t="shared" si="83"/>
        <v>0.99999996409846481</v>
      </c>
      <c r="AB122" s="160">
        <f t="shared" si="84"/>
        <v>6.5192058242196456E-4</v>
      </c>
      <c r="AC122" s="171" t="e">
        <f t="shared" si="85"/>
        <v>#DIV/0!</v>
      </c>
      <c r="AD122" s="190" t="e">
        <f t="shared" si="86"/>
        <v>#DIV/0!</v>
      </c>
      <c r="AE122" s="169" t="e">
        <f t="shared" si="87"/>
        <v>#DIV/0!</v>
      </c>
      <c r="AF122" s="98" t="str">
        <f t="shared" si="72"/>
        <v>-0.0000182926829268293</v>
      </c>
      <c r="AG122" s="98" t="str">
        <f t="shared" si="73"/>
        <v>0.0000153081927868455i</v>
      </c>
      <c r="AH122" s="98">
        <f t="shared" si="88"/>
        <v>1.5308192786845502E-5</v>
      </c>
      <c r="AI122" s="98">
        <f t="shared" si="89"/>
        <v>1.5707963267948966</v>
      </c>
      <c r="AJ122" s="98" t="str">
        <f t="shared" si="74"/>
        <v>1+0.00150065609125042i</v>
      </c>
      <c r="AK122" s="98">
        <f t="shared" si="90"/>
        <v>1.0000011259837183</v>
      </c>
      <c r="AL122" s="98">
        <f t="shared" si="91"/>
        <v>1.5006549647750909E-3</v>
      </c>
      <c r="AM122" s="98" t="str">
        <f t="shared" si="75"/>
        <v>1+0.151566265216292i</v>
      </c>
      <c r="AN122" s="98">
        <f t="shared" si="92"/>
        <v>1.0114209473565472</v>
      </c>
      <c r="AO122" s="98">
        <f t="shared" si="93"/>
        <v>0.15042139425407555</v>
      </c>
      <c r="AP122" s="168" t="str">
        <f t="shared" si="94"/>
        <v>-0.17932204423461+1.19522941912659i</v>
      </c>
      <c r="AQ122" s="98">
        <f t="shared" si="95"/>
        <v>1.6456987736999908</v>
      </c>
      <c r="AR122" s="169">
        <f t="shared" si="96"/>
        <v>98.532529843244944</v>
      </c>
      <c r="AS122" s="168" t="e">
        <f t="shared" si="97"/>
        <v>#DIV/0!</v>
      </c>
      <c r="AT122" s="190" t="e">
        <f t="shared" si="98"/>
        <v>#DIV/0!</v>
      </c>
      <c r="AU122" s="169" t="e">
        <f t="shared" si="99"/>
        <v>#DIV/0!</v>
      </c>
      <c r="AV122" s="225"/>
      <c r="AX122" t="e">
        <f t="shared" si="100"/>
        <v>#DIV/0!</v>
      </c>
      <c r="AY122" t="e">
        <f t="shared" si="101"/>
        <v>#DIV/0!</v>
      </c>
    </row>
    <row r="123" spans="14:51" x14ac:dyDescent="0.25">
      <c r="N123" s="170">
        <v>5</v>
      </c>
      <c r="O123" s="199">
        <f t="shared" si="102"/>
        <v>112.20184543019634</v>
      </c>
      <c r="P123" s="189" t="str">
        <f t="shared" si="67"/>
        <v>290</v>
      </c>
      <c r="Q123" s="160" t="e">
        <f t="shared" si="68"/>
        <v>#DIV/0!</v>
      </c>
      <c r="R123" s="160" t="e">
        <f t="shared" si="77"/>
        <v>#DIV/0!</v>
      </c>
      <c r="S123" s="160" t="e">
        <f t="shared" si="78"/>
        <v>#DIV/0!</v>
      </c>
      <c r="T123" s="160" t="e">
        <f t="shared" si="69"/>
        <v>#DIV/0!</v>
      </c>
      <c r="U123" s="160" t="e">
        <f t="shared" si="79"/>
        <v>#DIV/0!</v>
      </c>
      <c r="V123" s="160" t="e">
        <f t="shared" si="80"/>
        <v>#DIV/0!</v>
      </c>
      <c r="W123" s="98" t="str">
        <f t="shared" si="70"/>
        <v>1-0.00561784911233091i</v>
      </c>
      <c r="X123" s="160">
        <f t="shared" si="81"/>
        <v>1.0000157799898204</v>
      </c>
      <c r="Y123" s="160">
        <f t="shared" si="82"/>
        <v>-5.6177900132491805E-3</v>
      </c>
      <c r="Z123" s="98" t="str">
        <f t="shared" si="71"/>
        <v>0.999999739891444+0.000667105692312491i</v>
      </c>
      <c r="AA123" s="160">
        <f t="shared" si="83"/>
        <v>0.99999996240647959</v>
      </c>
      <c r="AB123" s="160">
        <f t="shared" si="84"/>
        <v>6.6710576687170056E-4</v>
      </c>
      <c r="AC123" s="171" t="e">
        <f t="shared" si="85"/>
        <v>#DIV/0!</v>
      </c>
      <c r="AD123" s="190" t="e">
        <f t="shared" si="86"/>
        <v>#DIV/0!</v>
      </c>
      <c r="AE123" s="169" t="e">
        <f t="shared" si="87"/>
        <v>#DIV/0!</v>
      </c>
      <c r="AF123" s="98" t="str">
        <f t="shared" si="72"/>
        <v>-0.0000182926829268293</v>
      </c>
      <c r="AG123" s="98" t="str">
        <f t="shared" si="73"/>
        <v>0.0000156647664032618i</v>
      </c>
      <c r="AH123" s="98">
        <f t="shared" si="88"/>
        <v>1.5664766403261801E-5</v>
      </c>
      <c r="AI123" s="98">
        <f t="shared" si="89"/>
        <v>1.5707963267948966</v>
      </c>
      <c r="AJ123" s="98" t="str">
        <f t="shared" si="74"/>
        <v>1+0.00153561086199998i</v>
      </c>
      <c r="AK123" s="98">
        <f t="shared" si="90"/>
        <v>1.0000011790496648</v>
      </c>
      <c r="AL123" s="98">
        <f t="shared" si="91"/>
        <v>1.5356096549599949E-3</v>
      </c>
      <c r="AM123" s="98" t="str">
        <f t="shared" si="75"/>
        <v>1+0.155096697061998i</v>
      </c>
      <c r="AN123" s="98">
        <f t="shared" si="92"/>
        <v>1.0119560195184083</v>
      </c>
      <c r="AO123" s="98">
        <f t="shared" si="93"/>
        <v>0.15387072715638114</v>
      </c>
      <c r="AP123" s="168" t="str">
        <f t="shared" si="94"/>
        <v>-0.179322025202845+1.1680350695638i</v>
      </c>
      <c r="AQ123" s="98">
        <f t="shared" si="95"/>
        <v>1.4502921951126093</v>
      </c>
      <c r="AR123" s="169">
        <f t="shared" si="96"/>
        <v>98.728159304460888</v>
      </c>
      <c r="AS123" s="168" t="e">
        <f t="shared" si="97"/>
        <v>#DIV/0!</v>
      </c>
      <c r="AT123" s="190" t="e">
        <f t="shared" si="98"/>
        <v>#DIV/0!</v>
      </c>
      <c r="AU123" s="169" t="e">
        <f t="shared" si="99"/>
        <v>#DIV/0!</v>
      </c>
      <c r="AV123" s="225"/>
      <c r="AX123" t="e">
        <f t="shared" si="100"/>
        <v>#DIV/0!</v>
      </c>
      <c r="AY123" t="e">
        <f t="shared" si="101"/>
        <v>#DIV/0!</v>
      </c>
    </row>
    <row r="124" spans="14:51" x14ac:dyDescent="0.25">
      <c r="N124" s="170">
        <v>6</v>
      </c>
      <c r="O124" s="199">
        <f t="shared" si="102"/>
        <v>114.81536214968835</v>
      </c>
      <c r="P124" s="189" t="str">
        <f t="shared" si="67"/>
        <v>290</v>
      </c>
      <c r="Q124" s="160" t="e">
        <f t="shared" si="68"/>
        <v>#DIV/0!</v>
      </c>
      <c r="R124" s="160" t="e">
        <f t="shared" si="77"/>
        <v>#DIV/0!</v>
      </c>
      <c r="S124" s="160" t="e">
        <f t="shared" si="78"/>
        <v>#DIV/0!</v>
      </c>
      <c r="T124" s="160" t="e">
        <f t="shared" si="69"/>
        <v>#DIV/0!</v>
      </c>
      <c r="U124" s="160" t="e">
        <f t="shared" si="79"/>
        <v>#DIV/0!</v>
      </c>
      <c r="V124" s="160" t="e">
        <f t="shared" si="80"/>
        <v>#DIV/0!</v>
      </c>
      <c r="W124" s="98" t="str">
        <f t="shared" si="70"/>
        <v>1-0.00574870562833887i</v>
      </c>
      <c r="X124" s="160">
        <f t="shared" si="81"/>
        <v>1.0000165236716847</v>
      </c>
      <c r="Y124" s="160">
        <f t="shared" si="82"/>
        <v>-5.7486423025883884E-3</v>
      </c>
      <c r="Z124" s="98" t="str">
        <f t="shared" si="71"/>
        <v>0.999999727632905+0.000682644580053973i</v>
      </c>
      <c r="AA124" s="160">
        <f t="shared" si="83"/>
        <v>0.9999999606347526</v>
      </c>
      <c r="AB124" s="160">
        <f t="shared" si="84"/>
        <v>6.8264465994560537E-4</v>
      </c>
      <c r="AC124" s="171" t="e">
        <f t="shared" si="85"/>
        <v>#DIV/0!</v>
      </c>
      <c r="AD124" s="190" t="e">
        <f t="shared" si="86"/>
        <v>#DIV/0!</v>
      </c>
      <c r="AE124" s="169" t="e">
        <f t="shared" si="87"/>
        <v>#DIV/0!</v>
      </c>
      <c r="AF124" s="98" t="str">
        <f t="shared" si="72"/>
        <v>-0.0000182926829268293</v>
      </c>
      <c r="AG124" s="98" t="str">
        <f t="shared" si="73"/>
        <v>0.0000160296456861728i</v>
      </c>
      <c r="AH124" s="98">
        <f t="shared" si="88"/>
        <v>1.6029645686172801E-5</v>
      </c>
      <c r="AI124" s="98">
        <f t="shared" si="89"/>
        <v>1.5707963267948966</v>
      </c>
      <c r="AJ124" s="98" t="str">
        <f t="shared" si="74"/>
        <v>1+0.00157137983395479i</v>
      </c>
      <c r="AK124" s="98">
        <f t="shared" si="90"/>
        <v>1.0000012346165292</v>
      </c>
      <c r="AL124" s="98">
        <f t="shared" si="91"/>
        <v>1.57137854058823E-3</v>
      </c>
      <c r="AM124" s="98" t="str">
        <f t="shared" si="75"/>
        <v>1+0.158709363229433i</v>
      </c>
      <c r="AN124" s="98">
        <f t="shared" si="92"/>
        <v>1.0125160057879046</v>
      </c>
      <c r="AO124" s="98">
        <f t="shared" si="93"/>
        <v>0.15739658823209093</v>
      </c>
      <c r="AP124" s="168" t="str">
        <f t="shared" si="94"/>
        <v>-0.179322005274144+1.14146002765291i</v>
      </c>
      <c r="AQ124" s="98">
        <f t="shared" si="95"/>
        <v>1.2550968952479338</v>
      </c>
      <c r="AR124" s="169">
        <f t="shared" si="96"/>
        <v>98.928126857064129</v>
      </c>
      <c r="AS124" s="168" t="e">
        <f t="shared" si="97"/>
        <v>#DIV/0!</v>
      </c>
      <c r="AT124" s="190" t="e">
        <f t="shared" si="98"/>
        <v>#DIV/0!</v>
      </c>
      <c r="AU124" s="169" t="e">
        <f t="shared" si="99"/>
        <v>#DIV/0!</v>
      </c>
      <c r="AV124" s="225"/>
      <c r="AX124" t="e">
        <f t="shared" si="100"/>
        <v>#DIV/0!</v>
      </c>
      <c r="AY124" t="e">
        <f t="shared" si="101"/>
        <v>#DIV/0!</v>
      </c>
    </row>
    <row r="125" spans="14:51" x14ac:dyDescent="0.25">
      <c r="N125" s="170">
        <v>7</v>
      </c>
      <c r="O125" s="199">
        <f t="shared" si="102"/>
        <v>117.48975549395293</v>
      </c>
      <c r="P125" s="189" t="str">
        <f t="shared" si="67"/>
        <v>290</v>
      </c>
      <c r="Q125" s="160" t="e">
        <f t="shared" si="68"/>
        <v>#DIV/0!</v>
      </c>
      <c r="R125" s="160" t="e">
        <f t="shared" si="77"/>
        <v>#DIV/0!</v>
      </c>
      <c r="S125" s="160" t="e">
        <f t="shared" si="78"/>
        <v>#DIV/0!</v>
      </c>
      <c r="T125" s="160" t="e">
        <f t="shared" si="69"/>
        <v>#DIV/0!</v>
      </c>
      <c r="U125" s="160" t="e">
        <f t="shared" si="79"/>
        <v>#DIV/0!</v>
      </c>
      <c r="V125" s="160" t="e">
        <f t="shared" si="80"/>
        <v>#DIV/0!</v>
      </c>
      <c r="W125" s="98" t="str">
        <f t="shared" si="70"/>
        <v>1-0.00588261018416409i</v>
      </c>
      <c r="X125" s="160">
        <f t="shared" si="81"/>
        <v>1.0000173024016028</v>
      </c>
      <c r="Y125" s="160">
        <f t="shared" si="82"/>
        <v>-5.8825423294633378E-3</v>
      </c>
      <c r="Z125" s="98" t="str">
        <f t="shared" si="71"/>
        <v>0.99999971479664+0.000698545414987668i</v>
      </c>
      <c r="AA125" s="160">
        <f t="shared" si="83"/>
        <v>0.99999995877952819</v>
      </c>
      <c r="AB125" s="160">
        <f t="shared" si="84"/>
        <v>6.9854550059309363E-4</v>
      </c>
      <c r="AC125" s="171" t="e">
        <f t="shared" si="85"/>
        <v>#DIV/0!</v>
      </c>
      <c r="AD125" s="190" t="e">
        <f t="shared" si="86"/>
        <v>#DIV/0!</v>
      </c>
      <c r="AE125" s="169" t="e">
        <f t="shared" si="87"/>
        <v>#DIV/0!</v>
      </c>
      <c r="AF125" s="98" t="str">
        <f t="shared" si="72"/>
        <v>-0.0000182926829268293</v>
      </c>
      <c r="AG125" s="98" t="str">
        <f t="shared" si="73"/>
        <v>0.000016403024099404i</v>
      </c>
      <c r="AH125" s="98">
        <f t="shared" si="88"/>
        <v>1.6403024099404E-5</v>
      </c>
      <c r="AI125" s="98">
        <f t="shared" si="89"/>
        <v>1.5707963267948966</v>
      </c>
      <c r="AJ125" s="98" t="str">
        <f t="shared" si="74"/>
        <v>1+0.00160798197229723i</v>
      </c>
      <c r="AK125" s="98">
        <f t="shared" si="90"/>
        <v>1.000001292802176</v>
      </c>
      <c r="AL125" s="98">
        <f t="shared" si="91"/>
        <v>1.6079805864300891E-3</v>
      </c>
      <c r="AM125" s="98" t="str">
        <f t="shared" si="75"/>
        <v>1+0.16240617920202i</v>
      </c>
      <c r="AN125" s="98">
        <f t="shared" si="92"/>
        <v>1.013102051642873</v>
      </c>
      <c r="AO125" s="98">
        <f t="shared" si="93"/>
        <v>0.16100049610030653</v>
      </c>
      <c r="AP125" s="168" t="str">
        <f t="shared" si="94"/>
        <v>-0.179321984406239+1.11549020295474i</v>
      </c>
      <c r="AQ125" s="98">
        <f t="shared" si="95"/>
        <v>1.0601223420496053</v>
      </c>
      <c r="AR125" s="169">
        <f t="shared" si="96"/>
        <v>99.132518424918615</v>
      </c>
      <c r="AS125" s="168" t="e">
        <f t="shared" si="97"/>
        <v>#DIV/0!</v>
      </c>
      <c r="AT125" s="190" t="e">
        <f t="shared" si="98"/>
        <v>#DIV/0!</v>
      </c>
      <c r="AU125" s="169" t="e">
        <f t="shared" si="99"/>
        <v>#DIV/0!</v>
      </c>
      <c r="AV125" s="225"/>
      <c r="AX125" t="e">
        <f t="shared" si="100"/>
        <v>#DIV/0!</v>
      </c>
      <c r="AY125" t="e">
        <f t="shared" si="101"/>
        <v>#DIV/0!</v>
      </c>
    </row>
    <row r="126" spans="14:51" x14ac:dyDescent="0.25">
      <c r="N126" s="170">
        <v>8</v>
      </c>
      <c r="O126" s="199">
        <f t="shared" si="102"/>
        <v>120.22644346174135</v>
      </c>
      <c r="P126" s="189" t="str">
        <f t="shared" si="67"/>
        <v>290</v>
      </c>
      <c r="Q126" s="160" t="e">
        <f t="shared" si="68"/>
        <v>#DIV/0!</v>
      </c>
      <c r="R126" s="160" t="e">
        <f t="shared" si="77"/>
        <v>#DIV/0!</v>
      </c>
      <c r="S126" s="160" t="e">
        <f t="shared" si="78"/>
        <v>#DIV/0!</v>
      </c>
      <c r="T126" s="160" t="e">
        <f t="shared" si="69"/>
        <v>#DIV/0!</v>
      </c>
      <c r="U126" s="160" t="e">
        <f t="shared" si="79"/>
        <v>#DIV/0!</v>
      </c>
      <c r="V126" s="160" t="e">
        <f t="shared" si="80"/>
        <v>#DIV/0!</v>
      </c>
      <c r="W126" s="98" t="str">
        <f t="shared" si="70"/>
        <v>1-0.00601963377777452i</v>
      </c>
      <c r="X126" s="160">
        <f t="shared" si="81"/>
        <v>1.0000181178312815</v>
      </c>
      <c r="Y126" s="160">
        <f t="shared" si="82"/>
        <v>-6.0195610702238576E-3</v>
      </c>
      <c r="Z126" s="98" t="str">
        <f t="shared" si="71"/>
        <v>0.999999701355419+0.000714816627946734i</v>
      </c>
      <c r="AA126" s="160">
        <f t="shared" si="83"/>
        <v>0.99999995683686849</v>
      </c>
      <c r="AB126" s="160">
        <f t="shared" si="84"/>
        <v>7.1481671967460025E-4</v>
      </c>
      <c r="AC126" s="171" t="e">
        <f t="shared" si="85"/>
        <v>#DIV/0!</v>
      </c>
      <c r="AD126" s="190" t="e">
        <f t="shared" si="86"/>
        <v>#DIV/0!</v>
      </c>
      <c r="AE126" s="169" t="e">
        <f t="shared" si="87"/>
        <v>#DIV/0!</v>
      </c>
      <c r="AF126" s="98" t="str">
        <f t="shared" si="72"/>
        <v>-0.0000182926829268293</v>
      </c>
      <c r="AG126" s="98" t="str">
        <f t="shared" si="73"/>
        <v>0.0000167850996131325i</v>
      </c>
      <c r="AH126" s="98">
        <f t="shared" si="88"/>
        <v>1.67850996131325E-5</v>
      </c>
      <c r="AI126" s="98">
        <f t="shared" si="89"/>
        <v>1.5707963267948966</v>
      </c>
      <c r="AJ126" s="98" t="str">
        <f t="shared" si="74"/>
        <v>1+0.00164543668396554i</v>
      </c>
      <c r="AK126" s="98">
        <f t="shared" si="90"/>
        <v>1.0000013537300241</v>
      </c>
      <c r="AL126" s="98">
        <f t="shared" si="91"/>
        <v>1.6454351989822525E-3</v>
      </c>
      <c r="AM126" s="98" t="str">
        <f t="shared" si="75"/>
        <v>1+0.166189105080519i</v>
      </c>
      <c r="AN126" s="98">
        <f t="shared" si="92"/>
        <v>1.0137153538580066</v>
      </c>
      <c r="AO126" s="98">
        <f t="shared" si="93"/>
        <v>0.16468398694506625</v>
      </c>
      <c r="AP126" s="168" t="str">
        <f t="shared" si="94"/>
        <v>-0.179321962554863+1.09011182592427i</v>
      </c>
      <c r="AQ126" s="98">
        <f t="shared" si="95"/>
        <v>0.86537840428357227</v>
      </c>
      <c r="AR126" s="169">
        <f t="shared" si="96"/>
        <v>99.341420912975877</v>
      </c>
      <c r="AS126" s="168" t="e">
        <f t="shared" si="97"/>
        <v>#DIV/0!</v>
      </c>
      <c r="AT126" s="190" t="e">
        <f t="shared" si="98"/>
        <v>#DIV/0!</v>
      </c>
      <c r="AU126" s="169" t="e">
        <f t="shared" si="99"/>
        <v>#DIV/0!</v>
      </c>
      <c r="AV126" s="225"/>
      <c r="AX126" t="e">
        <f t="shared" si="100"/>
        <v>#DIV/0!</v>
      </c>
      <c r="AY126" t="e">
        <f t="shared" si="101"/>
        <v>#DIV/0!</v>
      </c>
    </row>
    <row r="127" spans="14:51" x14ac:dyDescent="0.25">
      <c r="N127" s="170">
        <v>9</v>
      </c>
      <c r="O127" s="199">
        <f t="shared" si="102"/>
        <v>123.02687708123821</v>
      </c>
      <c r="P127" s="189" t="str">
        <f t="shared" si="67"/>
        <v>290</v>
      </c>
      <c r="Q127" s="160" t="e">
        <f t="shared" si="68"/>
        <v>#DIV/0!</v>
      </c>
      <c r="R127" s="160" t="e">
        <f t="shared" si="77"/>
        <v>#DIV/0!</v>
      </c>
      <c r="S127" s="160" t="e">
        <f t="shared" si="78"/>
        <v>#DIV/0!</v>
      </c>
      <c r="T127" s="160" t="e">
        <f t="shared" si="69"/>
        <v>#DIV/0!</v>
      </c>
      <c r="U127" s="160" t="e">
        <f t="shared" si="79"/>
        <v>#DIV/0!</v>
      </c>
      <c r="V127" s="160" t="e">
        <f t="shared" si="80"/>
        <v>#DIV/0!</v>
      </c>
      <c r="W127" s="98" t="str">
        <f t="shared" si="70"/>
        <v>1-0.00615984906089319i</v>
      </c>
      <c r="X127" s="160">
        <f t="shared" si="81"/>
        <v>1.0000189716902639</v>
      </c>
      <c r="Y127" s="160">
        <f t="shared" si="82"/>
        <v>-6.1597711534288439E-3</v>
      </c>
      <c r="Z127" s="98" t="str">
        <f t="shared" si="71"/>
        <v>0.999999687280734+0.000731466846143651i</v>
      </c>
      <c r="AA127" s="160">
        <f t="shared" si="83"/>
        <v>0.99999995480265524</v>
      </c>
      <c r="AB127" s="160">
        <f t="shared" si="84"/>
        <v>7.3146694443182989E-4</v>
      </c>
      <c r="AC127" s="171" t="e">
        <f t="shared" si="85"/>
        <v>#DIV/0!</v>
      </c>
      <c r="AD127" s="190" t="e">
        <f t="shared" si="86"/>
        <v>#DIV/0!</v>
      </c>
      <c r="AE127" s="169" t="e">
        <f t="shared" si="87"/>
        <v>#DIV/0!</v>
      </c>
      <c r="AF127" s="98" t="str">
        <f t="shared" si="72"/>
        <v>-0.0000182926829268293</v>
      </c>
      <c r="AG127" s="98" t="str">
        <f t="shared" si="73"/>
        <v>0.0000171760748088529i</v>
      </c>
      <c r="AH127" s="98">
        <f t="shared" si="88"/>
        <v>1.7176074808852899E-5</v>
      </c>
      <c r="AI127" s="98">
        <f t="shared" si="89"/>
        <v>1.5707963267948966</v>
      </c>
      <c r="AJ127" s="98" t="str">
        <f t="shared" si="74"/>
        <v>1+0.00168376382794362i</v>
      </c>
      <c r="AK127" s="98">
        <f t="shared" si="90"/>
        <v>1.0000014175293095</v>
      </c>
      <c r="AL127" s="98">
        <f t="shared" si="91"/>
        <v>1.6837622367554812E-3</v>
      </c>
      <c r="AM127" s="98" t="str">
        <f t="shared" si="75"/>
        <v>1+0.170060146622305i</v>
      </c>
      <c r="AN127" s="98">
        <f t="shared" si="92"/>
        <v>1.014357162674568</v>
      </c>
      <c r="AO127" s="98">
        <f t="shared" si="93"/>
        <v>0.16844861377550327</v>
      </c>
      <c r="AP127" s="168" t="str">
        <f t="shared" si="94"/>
        <v>-0.17932193967367+1.06531144060985i</v>
      </c>
      <c r="AQ127" s="98">
        <f t="shared" si="95"/>
        <v>0.67087536630935574</v>
      </c>
      <c r="AR127" s="169">
        <f t="shared" si="96"/>
        <v>99.554922164296002</v>
      </c>
      <c r="AS127" s="168" t="e">
        <f t="shared" si="97"/>
        <v>#DIV/0!</v>
      </c>
      <c r="AT127" s="190" t="e">
        <f t="shared" si="98"/>
        <v>#DIV/0!</v>
      </c>
      <c r="AU127" s="169" t="e">
        <f t="shared" si="99"/>
        <v>#DIV/0!</v>
      </c>
      <c r="AV127" s="225"/>
      <c r="AX127" t="e">
        <f t="shared" si="100"/>
        <v>#DIV/0!</v>
      </c>
      <c r="AY127" t="e">
        <f t="shared" si="101"/>
        <v>#DIV/0!</v>
      </c>
    </row>
    <row r="128" spans="14:51" x14ac:dyDescent="0.25">
      <c r="N128" s="170">
        <v>10</v>
      </c>
      <c r="O128" s="199">
        <f t="shared" si="102"/>
        <v>125.89254117941677</v>
      </c>
      <c r="P128" s="189" t="str">
        <f t="shared" si="67"/>
        <v>290</v>
      </c>
      <c r="Q128" s="160" t="e">
        <f t="shared" si="68"/>
        <v>#DIV/0!</v>
      </c>
      <c r="R128" s="160" t="e">
        <f t="shared" si="77"/>
        <v>#DIV/0!</v>
      </c>
      <c r="S128" s="160" t="e">
        <f t="shared" si="78"/>
        <v>#DIV/0!</v>
      </c>
      <c r="T128" s="160" t="e">
        <f t="shared" si="69"/>
        <v>#DIV/0!</v>
      </c>
      <c r="U128" s="160" t="e">
        <f t="shared" si="79"/>
        <v>#DIV/0!</v>
      </c>
      <c r="V128" s="160" t="e">
        <f t="shared" si="80"/>
        <v>#DIV/0!</v>
      </c>
      <c r="W128" s="98" t="str">
        <f t="shared" si="70"/>
        <v>1-0.00630333037751918i</v>
      </c>
      <c r="X128" s="160">
        <f t="shared" si="81"/>
        <v>1.0000198657895993</v>
      </c>
      <c r="Y128" s="160">
        <f t="shared" si="82"/>
        <v>-6.3032468982566767E-3</v>
      </c>
      <c r="Z128" s="98" t="str">
        <f t="shared" si="71"/>
        <v>0.999999672542729+0.000748504897744502i</v>
      </c>
      <c r="AA128" s="160">
        <f t="shared" si="83"/>
        <v>0.99999995267257258</v>
      </c>
      <c r="AB128" s="160">
        <f t="shared" si="84"/>
        <v>7.4850500306218267E-4</v>
      </c>
      <c r="AC128" s="171" t="e">
        <f t="shared" si="85"/>
        <v>#DIV/0!</v>
      </c>
      <c r="AD128" s="190" t="e">
        <f t="shared" si="86"/>
        <v>#DIV/0!</v>
      </c>
      <c r="AE128" s="169" t="e">
        <f t="shared" si="87"/>
        <v>#DIV/0!</v>
      </c>
      <c r="AF128" s="98" t="str">
        <f t="shared" si="72"/>
        <v>-0.0000182926829268293</v>
      </c>
      <c r="AG128" s="98" t="str">
        <f t="shared" si="73"/>
        <v>0.0000175761569867891i</v>
      </c>
      <c r="AH128" s="98">
        <f t="shared" si="88"/>
        <v>1.75761569867891E-5</v>
      </c>
      <c r="AI128" s="98">
        <f t="shared" si="89"/>
        <v>1.5707963267948966</v>
      </c>
      <c r="AJ128" s="98" t="str">
        <f t="shared" si="74"/>
        <v>1+0.00172298372579052i</v>
      </c>
      <c r="AK128" s="98">
        <f t="shared" si="90"/>
        <v>1.000001484335358</v>
      </c>
      <c r="AL128" s="98">
        <f t="shared" si="91"/>
        <v>1.7229820208018477E-3</v>
      </c>
      <c r="AM128" s="98" t="str">
        <f t="shared" si="75"/>
        <v>1+0.174021356304843i</v>
      </c>
      <c r="AN128" s="98">
        <f t="shared" si="92"/>
        <v>1.0150287840500767</v>
      </c>
      <c r="AO128" s="98">
        <f t="shared" si="93"/>
        <v>0.17229594560081571</v>
      </c>
      <c r="AP128" s="168" t="str">
        <f t="shared" si="94"/>
        <v>-0.179321915714127+1.04107589751868i</v>
      </c>
      <c r="AQ128" s="98">
        <f t="shared" si="95"/>
        <v>0.47662394318667778</v>
      </c>
      <c r="AR128" s="169">
        <f t="shared" si="96"/>
        <v>99.773110912173465</v>
      </c>
      <c r="AS128" s="168" t="e">
        <f t="shared" si="97"/>
        <v>#DIV/0!</v>
      </c>
      <c r="AT128" s="190" t="e">
        <f t="shared" si="98"/>
        <v>#DIV/0!</v>
      </c>
      <c r="AU128" s="169" t="e">
        <f t="shared" si="99"/>
        <v>#DIV/0!</v>
      </c>
      <c r="AV128" s="225"/>
      <c r="AX128" t="e">
        <f t="shared" si="100"/>
        <v>#DIV/0!</v>
      </c>
      <c r="AY128" t="e">
        <f t="shared" si="101"/>
        <v>#DIV/0!</v>
      </c>
    </row>
    <row r="129" spans="14:51" x14ac:dyDescent="0.25">
      <c r="N129" s="170">
        <v>11</v>
      </c>
      <c r="O129" s="199">
        <f t="shared" si="102"/>
        <v>128.82495516931343</v>
      </c>
      <c r="P129" s="189" t="str">
        <f t="shared" si="67"/>
        <v>290</v>
      </c>
      <c r="Q129" s="160" t="e">
        <f t="shared" si="68"/>
        <v>#DIV/0!</v>
      </c>
      <c r="R129" s="160" t="e">
        <f t="shared" si="77"/>
        <v>#DIV/0!</v>
      </c>
      <c r="S129" s="160" t="e">
        <f t="shared" si="78"/>
        <v>#DIV/0!</v>
      </c>
      <c r="T129" s="160" t="e">
        <f t="shared" si="69"/>
        <v>#DIV/0!</v>
      </c>
      <c r="U129" s="160" t="e">
        <f t="shared" si="79"/>
        <v>#DIV/0!</v>
      </c>
      <c r="V129" s="160" t="e">
        <f t="shared" si="80"/>
        <v>#DIV/0!</v>
      </c>
      <c r="W129" s="98" t="str">
        <f t="shared" si="70"/>
        <v>1-0.00645015380334578i</v>
      </c>
      <c r="X129" s="160">
        <f t="shared" si="81"/>
        <v>1.0000208020256813</v>
      </c>
      <c r="Y129" s="160">
        <f t="shared" si="82"/>
        <v>-6.4500643538049143E-3</v>
      </c>
      <c r="Z129" s="98" t="str">
        <f t="shared" si="71"/>
        <v>0.999999657110143+0.000765939816549772i</v>
      </c>
      <c r="AA129" s="160">
        <f t="shared" si="83"/>
        <v>0.99999995044210199</v>
      </c>
      <c r="AB129" s="160">
        <f t="shared" si="84"/>
        <v>7.6593992939969976E-4</v>
      </c>
      <c r="AC129" s="171" t="e">
        <f t="shared" si="85"/>
        <v>#DIV/0!</v>
      </c>
      <c r="AD129" s="190" t="e">
        <f t="shared" si="86"/>
        <v>#DIV/0!</v>
      </c>
      <c r="AE129" s="169" t="e">
        <f t="shared" si="87"/>
        <v>#DIV/0!</v>
      </c>
      <c r="AF129" s="98" t="str">
        <f t="shared" si="72"/>
        <v>-0.0000182926829268293</v>
      </c>
      <c r="AG129" s="98" t="str">
        <f t="shared" si="73"/>
        <v>0.0000179855582758077i</v>
      </c>
      <c r="AH129" s="98">
        <f t="shared" si="88"/>
        <v>1.7985558275807702E-5</v>
      </c>
      <c r="AI129" s="98">
        <f t="shared" si="89"/>
        <v>1.5707963267948966</v>
      </c>
      <c r="AJ129" s="98" t="str">
        <f t="shared" si="74"/>
        <v>1+0.00176311717241523i</v>
      </c>
      <c r="AK129" s="98">
        <f t="shared" si="90"/>
        <v>1.0000015542898739</v>
      </c>
      <c r="AL129" s="98">
        <f t="shared" si="91"/>
        <v>1.7631153454871059E-3</v>
      </c>
      <c r="AM129" s="98" t="str">
        <f t="shared" si="75"/>
        <v>1+0.178074834413938i</v>
      </c>
      <c r="AN129" s="98">
        <f t="shared" si="92"/>
        <v>1.0157315819898245</v>
      </c>
      <c r="AO129" s="98">
        <f t="shared" si="93"/>
        <v>0.17622756651479241</v>
      </c>
      <c r="AP129" s="168" t="str">
        <f t="shared" si="94"/>
        <v>-0.179321890625411+1.01739234664475i</v>
      </c>
      <c r="AQ129" s="98">
        <f t="shared" si="95"/>
        <v>0.28263529610334021</v>
      </c>
      <c r="AR129" s="169">
        <f t="shared" si="96"/>
        <v>99.996076727067347</v>
      </c>
      <c r="AS129" s="168" t="e">
        <f t="shared" si="97"/>
        <v>#DIV/0!</v>
      </c>
      <c r="AT129" s="190" t="e">
        <f t="shared" si="98"/>
        <v>#DIV/0!</v>
      </c>
      <c r="AU129" s="169" t="e">
        <f t="shared" si="99"/>
        <v>#DIV/0!</v>
      </c>
      <c r="AV129" s="225"/>
      <c r="AX129" t="e">
        <f t="shared" si="100"/>
        <v>#DIV/0!</v>
      </c>
      <c r="AY129" t="e">
        <f t="shared" si="101"/>
        <v>#DIV/0!</v>
      </c>
    </row>
    <row r="130" spans="14:51" x14ac:dyDescent="0.25">
      <c r="N130" s="170">
        <v>12</v>
      </c>
      <c r="O130" s="199">
        <f t="shared" si="102"/>
        <v>131.82567385564084</v>
      </c>
      <c r="P130" s="189" t="str">
        <f t="shared" si="67"/>
        <v>290</v>
      </c>
      <c r="Q130" s="160" t="e">
        <f t="shared" si="68"/>
        <v>#DIV/0!</v>
      </c>
      <c r="R130" s="160" t="e">
        <f t="shared" si="77"/>
        <v>#DIV/0!</v>
      </c>
      <c r="S130" s="160" t="e">
        <f t="shared" si="78"/>
        <v>#DIV/0!</v>
      </c>
      <c r="T130" s="160" t="e">
        <f t="shared" si="69"/>
        <v>#DIV/0!</v>
      </c>
      <c r="U130" s="160" t="e">
        <f t="shared" si="79"/>
        <v>#DIV/0!</v>
      </c>
      <c r="V130" s="160" t="e">
        <f t="shared" si="80"/>
        <v>#DIV/0!</v>
      </c>
      <c r="W130" s="98" t="str">
        <f t="shared" si="70"/>
        <v>1-0.00660039718609679i</v>
      </c>
      <c r="X130" s="160">
        <f t="shared" si="81"/>
        <v>1.000021782384271</v>
      </c>
      <c r="Y130" s="160">
        <f t="shared" si="82"/>
        <v>-6.6003013392996633E-3</v>
      </c>
      <c r="Z130" s="98" t="str">
        <f t="shared" si="71"/>
        <v>0.999999640950242+0.000783780846784189i</v>
      </c>
      <c r="AA130" s="160">
        <f t="shared" si="83"/>
        <v>0.99999994810651316</v>
      </c>
      <c r="AB130" s="160">
        <f t="shared" si="84"/>
        <v>7.8378096770506461E-4</v>
      </c>
      <c r="AC130" s="171" t="e">
        <f t="shared" si="85"/>
        <v>#DIV/0!</v>
      </c>
      <c r="AD130" s="190" t="e">
        <f t="shared" si="86"/>
        <v>#DIV/0!</v>
      </c>
      <c r="AE130" s="169" t="e">
        <f t="shared" si="87"/>
        <v>#DIV/0!</v>
      </c>
      <c r="AF130" s="98" t="str">
        <f t="shared" si="72"/>
        <v>-0.0000182926829268293</v>
      </c>
      <c r="AG130" s="98" t="str">
        <f t="shared" si="73"/>
        <v>0.0000184044957458912i</v>
      </c>
      <c r="AH130" s="98">
        <f t="shared" si="88"/>
        <v>1.8404495745891199E-5</v>
      </c>
      <c r="AI130" s="98">
        <f t="shared" si="89"/>
        <v>1.5707963267948966</v>
      </c>
      <c r="AJ130" s="98" t="str">
        <f t="shared" si="74"/>
        <v>1+0.00180418544710236i</v>
      </c>
      <c r="AK130" s="98">
        <f t="shared" si="90"/>
        <v>1.0000016275412393</v>
      </c>
      <c r="AL130" s="98">
        <f t="shared" si="91"/>
        <v>1.8041834895137778E-3</v>
      </c>
      <c r="AM130" s="98" t="str">
        <f t="shared" si="75"/>
        <v>1+0.182222730157338i</v>
      </c>
      <c r="AN130" s="98">
        <f t="shared" si="92"/>
        <v>1.0164669809619957</v>
      </c>
      <c r="AO130" s="98">
        <f t="shared" si="93"/>
        <v>0.1802450746844354</v>
      </c>
      <c r="AP130" s="168" t="str">
        <f t="shared" si="94"/>
        <v>-0.179321864354308+0.994248230655607i</v>
      </c>
      <c r="AQ130" s="98">
        <f t="shared" si="95"/>
        <v>8.8921048108031392E-2</v>
      </c>
      <c r="AR130" s="169">
        <f t="shared" si="96"/>
        <v>100.22390995802216</v>
      </c>
      <c r="AS130" s="168" t="e">
        <f t="shared" si="97"/>
        <v>#DIV/0!</v>
      </c>
      <c r="AT130" s="190" t="e">
        <f t="shared" si="98"/>
        <v>#DIV/0!</v>
      </c>
      <c r="AU130" s="169" t="e">
        <f t="shared" si="99"/>
        <v>#DIV/0!</v>
      </c>
      <c r="AV130" s="225"/>
      <c r="AX130" t="e">
        <f t="shared" si="100"/>
        <v>#DIV/0!</v>
      </c>
      <c r="AY130" t="e">
        <f t="shared" si="101"/>
        <v>#DIV/0!</v>
      </c>
    </row>
    <row r="131" spans="14:51" x14ac:dyDescent="0.25">
      <c r="N131" s="170">
        <v>13</v>
      </c>
      <c r="O131" s="199">
        <f t="shared" si="102"/>
        <v>134.89628825916537</v>
      </c>
      <c r="P131" s="189" t="str">
        <f t="shared" si="67"/>
        <v>290</v>
      </c>
      <c r="Q131" s="160" t="e">
        <f t="shared" si="68"/>
        <v>#DIV/0!</v>
      </c>
      <c r="R131" s="160" t="e">
        <f t="shared" si="77"/>
        <v>#DIV/0!</v>
      </c>
      <c r="S131" s="160" t="e">
        <f t="shared" si="78"/>
        <v>#DIV/0!</v>
      </c>
      <c r="T131" s="160" t="e">
        <f t="shared" si="69"/>
        <v>#DIV/0!</v>
      </c>
      <c r="U131" s="160" t="e">
        <f t="shared" si="79"/>
        <v>#DIV/0!</v>
      </c>
      <c r="V131" s="160" t="e">
        <f t="shared" si="80"/>
        <v>#DIV/0!</v>
      </c>
      <c r="W131" s="98" t="str">
        <f t="shared" si="70"/>
        <v>1-0.00675414018680245i</v>
      </c>
      <c r="X131" s="160">
        <f t="shared" si="81"/>
        <v>1.0000228089447074</v>
      </c>
      <c r="Y131" s="160">
        <f t="shared" si="82"/>
        <v>-6.7540374852354968E-3</v>
      </c>
      <c r="Z131" s="98" t="str">
        <f t="shared" si="71"/>
        <v>0.999999624028748+0.000802037447998135i</v>
      </c>
      <c r="AA131" s="160">
        <f t="shared" si="83"/>
        <v>0.99999994566085126</v>
      </c>
      <c r="AB131" s="160">
        <f t="shared" si="84"/>
        <v>8.0203757756718713E-4</v>
      </c>
      <c r="AC131" s="171" t="e">
        <f t="shared" si="85"/>
        <v>#DIV/0!</v>
      </c>
      <c r="AD131" s="190" t="e">
        <f t="shared" si="86"/>
        <v>#DIV/0!</v>
      </c>
      <c r="AE131" s="169" t="e">
        <f t="shared" si="87"/>
        <v>#DIV/0!</v>
      </c>
      <c r="AF131" s="98" t="str">
        <f t="shared" si="72"/>
        <v>-0.0000182926829268293</v>
      </c>
      <c r="AG131" s="98" t="str">
        <f t="shared" si="73"/>
        <v>0.0000188331915232314i</v>
      </c>
      <c r="AH131" s="98">
        <f t="shared" si="88"/>
        <v>1.8833191523231401E-5</v>
      </c>
      <c r="AI131" s="98">
        <f t="shared" si="89"/>
        <v>1.5707963267948966</v>
      </c>
      <c r="AJ131" s="98" t="str">
        <f t="shared" si="74"/>
        <v>1+0.00184621032479476i</v>
      </c>
      <c r="AK131" s="98">
        <f t="shared" si="90"/>
        <v>1.0000017042448295</v>
      </c>
      <c r="AL131" s="98">
        <f t="shared" si="91"/>
        <v>1.8462082272009954E-3</v>
      </c>
      <c r="AM131" s="98" t="str">
        <f t="shared" si="75"/>
        <v>1+0.186467242804271i</v>
      </c>
      <c r="AN131" s="98">
        <f t="shared" si="92"/>
        <v>1.0172364683980943</v>
      </c>
      <c r="AO131" s="98">
        <f t="shared" si="93"/>
        <v>0.18435008123702301</v>
      </c>
      <c r="AP131" s="168" t="str">
        <f t="shared" si="94"/>
        <v>-0.179321836845094+0.97163127823433i</v>
      </c>
      <c r="AQ131" s="98">
        <f t="shared" si="95"/>
        <v>-0.10450669987181667</v>
      </c>
      <c r="AR131" s="169">
        <f t="shared" si="96"/>
        <v>100.45670166825433</v>
      </c>
      <c r="AS131" s="168" t="e">
        <f t="shared" si="97"/>
        <v>#DIV/0!</v>
      </c>
      <c r="AT131" s="190" t="e">
        <f t="shared" si="98"/>
        <v>#DIV/0!</v>
      </c>
      <c r="AU131" s="169" t="e">
        <f t="shared" si="99"/>
        <v>#DIV/0!</v>
      </c>
      <c r="AV131" s="225"/>
      <c r="AX131" t="e">
        <f t="shared" si="100"/>
        <v>#DIV/0!</v>
      </c>
      <c r="AY131" t="e">
        <f t="shared" si="101"/>
        <v>#DIV/0!</v>
      </c>
    </row>
    <row r="132" spans="14:51" x14ac:dyDescent="0.25">
      <c r="N132" s="170">
        <v>14</v>
      </c>
      <c r="O132" s="199">
        <f t="shared" si="102"/>
        <v>138.0384264602886</v>
      </c>
      <c r="P132" s="189" t="str">
        <f t="shared" si="67"/>
        <v>290</v>
      </c>
      <c r="Q132" s="160" t="e">
        <f t="shared" si="68"/>
        <v>#DIV/0!</v>
      </c>
      <c r="R132" s="160" t="e">
        <f t="shared" si="77"/>
        <v>#DIV/0!</v>
      </c>
      <c r="S132" s="160" t="e">
        <f t="shared" si="78"/>
        <v>#DIV/0!</v>
      </c>
      <c r="T132" s="160" t="e">
        <f t="shared" si="69"/>
        <v>#DIV/0!</v>
      </c>
      <c r="U132" s="160" t="e">
        <f t="shared" si="79"/>
        <v>#DIV/0!</v>
      </c>
      <c r="V132" s="160" t="e">
        <f t="shared" si="80"/>
        <v>#DIV/0!</v>
      </c>
      <c r="W132" s="98" t="str">
        <f t="shared" si="70"/>
        <v>1-0.00691146432203677i</v>
      </c>
      <c r="X132" s="160">
        <f t="shared" si="81"/>
        <v>1.0000238838843174</v>
      </c>
      <c r="Y132" s="160">
        <f t="shared" si="82"/>
        <v>-6.9113542754670517E-3</v>
      </c>
      <c r="Z132" s="98" t="str">
        <f t="shared" si="71"/>
        <v>0.999999606309769+0.000820719300083232i</v>
      </c>
      <c r="AA132" s="160">
        <f t="shared" si="83"/>
        <v>0.99999994309992968</v>
      </c>
      <c r="AB132" s="160">
        <f t="shared" si="84"/>
        <v>8.2071943891897183E-4</v>
      </c>
      <c r="AC132" s="171" t="e">
        <f t="shared" si="85"/>
        <v>#DIV/0!</v>
      </c>
      <c r="AD132" s="190" t="e">
        <f t="shared" si="86"/>
        <v>#DIV/0!</v>
      </c>
      <c r="AE132" s="169" t="e">
        <f t="shared" si="87"/>
        <v>#DIV/0!</v>
      </c>
      <c r="AF132" s="98" t="str">
        <f t="shared" si="72"/>
        <v>-0.0000182926829268293</v>
      </c>
      <c r="AG132" s="98" t="str">
        <f t="shared" si="73"/>
        <v>0.000019271872908004i</v>
      </c>
      <c r="AH132" s="98">
        <f t="shared" si="88"/>
        <v>1.9271872908003999E-5</v>
      </c>
      <c r="AI132" s="98">
        <f t="shared" si="89"/>
        <v>1.5707963267948966</v>
      </c>
      <c r="AJ132" s="98" t="str">
        <f t="shared" si="74"/>
        <v>1+0.00188921408763886i</v>
      </c>
      <c r="AK132" s="98">
        <f t="shared" si="90"/>
        <v>1.0000017845633422</v>
      </c>
      <c r="AL132" s="98">
        <f t="shared" si="91"/>
        <v>1.8892118400268636E-3</v>
      </c>
      <c r="AM132" s="98" t="str">
        <f t="shared" si="75"/>
        <v>1+0.190810622851524i</v>
      </c>
      <c r="AN132" s="98">
        <f t="shared" si="92"/>
        <v>1.0180415972802814</v>
      </c>
      <c r="AO132" s="98">
        <f t="shared" si="93"/>
        <v>0.18854420903979499</v>
      </c>
      <c r="AP132" s="168" t="str">
        <f t="shared" si="94"/>
        <v>-0.17932180803942+0.949529497573044i</v>
      </c>
      <c r="AQ132" s="98">
        <f t="shared" si="95"/>
        <v>-0.29763535275159075</v>
      </c>
      <c r="AR132" s="169">
        <f t="shared" si="96"/>
        <v>100.69454356457291</v>
      </c>
      <c r="AS132" s="168" t="e">
        <f t="shared" si="97"/>
        <v>#DIV/0!</v>
      </c>
      <c r="AT132" s="190" t="e">
        <f t="shared" si="98"/>
        <v>#DIV/0!</v>
      </c>
      <c r="AU132" s="169" t="e">
        <f t="shared" si="99"/>
        <v>#DIV/0!</v>
      </c>
      <c r="AV132" s="225"/>
      <c r="AX132" t="e">
        <f t="shared" si="100"/>
        <v>#DIV/0!</v>
      </c>
      <c r="AY132" t="e">
        <f t="shared" si="101"/>
        <v>#DIV/0!</v>
      </c>
    </row>
    <row r="133" spans="14:51" x14ac:dyDescent="0.25">
      <c r="N133" s="170">
        <v>15</v>
      </c>
      <c r="O133" s="199">
        <f t="shared" si="102"/>
        <v>141.25375446227542</v>
      </c>
      <c r="P133" s="189" t="str">
        <f t="shared" si="67"/>
        <v>290</v>
      </c>
      <c r="Q133" s="160" t="e">
        <f t="shared" si="68"/>
        <v>#DIV/0!</v>
      </c>
      <c r="R133" s="160" t="e">
        <f t="shared" si="77"/>
        <v>#DIV/0!</v>
      </c>
      <c r="S133" s="160" t="e">
        <f t="shared" si="78"/>
        <v>#DIV/0!</v>
      </c>
      <c r="T133" s="160" t="e">
        <f t="shared" si="69"/>
        <v>#DIV/0!</v>
      </c>
      <c r="U133" s="160" t="e">
        <f t="shared" si="79"/>
        <v>#DIV/0!</v>
      </c>
      <c r="V133" s="160" t="e">
        <f t="shared" si="80"/>
        <v>#DIV/0!</v>
      </c>
      <c r="W133" s="98" t="str">
        <f t="shared" si="70"/>
        <v>1-0.00707245300713868i</v>
      </c>
      <c r="X133" s="160">
        <f t="shared" si="81"/>
        <v>1.0000250094830321</v>
      </c>
      <c r="Y133" s="160">
        <f t="shared" si="82"/>
        <v>-7.0723350902740217E-3</v>
      </c>
      <c r="Z133" s="98" t="str">
        <f t="shared" si="71"/>
        <v>0.99999958775572+0.000839836308404736i</v>
      </c>
      <c r="AA133" s="160">
        <f t="shared" si="83"/>
        <v>0.99999994041831564</v>
      </c>
      <c r="AB133" s="160">
        <f t="shared" si="84"/>
        <v>8.3983645716991071E-4</v>
      </c>
      <c r="AC133" s="171" t="e">
        <f t="shared" si="85"/>
        <v>#DIV/0!</v>
      </c>
      <c r="AD133" s="190" t="e">
        <f t="shared" si="86"/>
        <v>#DIV/0!</v>
      </c>
      <c r="AE133" s="169" t="e">
        <f t="shared" si="87"/>
        <v>#DIV/0!</v>
      </c>
      <c r="AF133" s="98" t="str">
        <f t="shared" si="72"/>
        <v>-0.0000182926829268293</v>
      </c>
      <c r="AG133" s="98" t="str">
        <f t="shared" si="73"/>
        <v>0.0000197207724948858i</v>
      </c>
      <c r="AH133" s="98">
        <f t="shared" si="88"/>
        <v>1.9720772494885799E-5</v>
      </c>
      <c r="AI133" s="98">
        <f t="shared" si="89"/>
        <v>1.5707963267948966</v>
      </c>
      <c r="AJ133" s="98" t="str">
        <f t="shared" si="74"/>
        <v>1+0.00193321953679892i</v>
      </c>
      <c r="AK133" s="98">
        <f t="shared" si="90"/>
        <v>1.0000018686671428</v>
      </c>
      <c r="AL133" s="98">
        <f t="shared" si="91"/>
        <v>1.933217128439518E-3</v>
      </c>
      <c r="AM133" s="98" t="str">
        <f t="shared" si="75"/>
        <v>1+0.195255173216691i</v>
      </c>
      <c r="AN133" s="98">
        <f t="shared" si="92"/>
        <v>1.0188839888171175</v>
      </c>
      <c r="AO133" s="98">
        <f t="shared" si="93"/>
        <v>0.19282909136628112</v>
      </c>
      <c r="AP133" s="168" t="str">
        <f t="shared" si="94"/>
        <v>-0.179321777876187+0.927931170014751i</v>
      </c>
      <c r="AQ133" s="98">
        <f t="shared" si="95"/>
        <v>-0.49045180477541445</v>
      </c>
      <c r="AR133" s="169">
        <f t="shared" si="96"/>
        <v>100.93752792028845</v>
      </c>
      <c r="AS133" s="168" t="e">
        <f t="shared" si="97"/>
        <v>#DIV/0!</v>
      </c>
      <c r="AT133" s="190" t="e">
        <f t="shared" si="98"/>
        <v>#DIV/0!</v>
      </c>
      <c r="AU133" s="169" t="e">
        <f t="shared" si="99"/>
        <v>#DIV/0!</v>
      </c>
      <c r="AV133" s="225"/>
      <c r="AX133" t="e">
        <f t="shared" si="100"/>
        <v>#DIV/0!</v>
      </c>
      <c r="AY133" t="e">
        <f t="shared" si="101"/>
        <v>#DIV/0!</v>
      </c>
    </row>
    <row r="134" spans="14:51" x14ac:dyDescent="0.25">
      <c r="N134" s="170">
        <v>16</v>
      </c>
      <c r="O134" s="199">
        <f t="shared" si="102"/>
        <v>144.54397707459285</v>
      </c>
      <c r="P134" s="189" t="str">
        <f t="shared" si="67"/>
        <v>290</v>
      </c>
      <c r="Q134" s="160" t="e">
        <f t="shared" si="68"/>
        <v>#DIV/0!</v>
      </c>
      <c r="R134" s="160" t="e">
        <f t="shared" si="77"/>
        <v>#DIV/0!</v>
      </c>
      <c r="S134" s="160" t="e">
        <f t="shared" si="78"/>
        <v>#DIV/0!</v>
      </c>
      <c r="T134" s="160" t="e">
        <f t="shared" si="69"/>
        <v>#DIV/0!</v>
      </c>
      <c r="U134" s="160" t="e">
        <f t="shared" si="79"/>
        <v>#DIV/0!</v>
      </c>
      <c r="V134" s="160" t="e">
        <f t="shared" si="80"/>
        <v>#DIV/0!</v>
      </c>
      <c r="W134" s="98" t="str">
        <f t="shared" si="70"/>
        <v>1-0.00723719160043996i</v>
      </c>
      <c r="X134" s="160">
        <f t="shared" si="81"/>
        <v>1.0000261881282217</v>
      </c>
      <c r="Y134" s="160">
        <f t="shared" si="82"/>
        <v>-7.2370652504217692E-3</v>
      </c>
      <c r="Z134" s="98" t="str">
        <f t="shared" si="71"/>
        <v>0.999999568327246+0.000859398609053505i</v>
      </c>
      <c r="AA134" s="160">
        <f t="shared" si="83"/>
        <v>0.99999993761032191</v>
      </c>
      <c r="AB134" s="160">
        <f t="shared" si="84"/>
        <v>8.5939876845826039E-4</v>
      </c>
      <c r="AC134" s="171" t="e">
        <f t="shared" si="85"/>
        <v>#DIV/0!</v>
      </c>
      <c r="AD134" s="190" t="e">
        <f t="shared" si="86"/>
        <v>#DIV/0!</v>
      </c>
      <c r="AE134" s="169" t="e">
        <f t="shared" si="87"/>
        <v>#DIV/0!</v>
      </c>
      <c r="AF134" s="98" t="str">
        <f t="shared" si="72"/>
        <v>-0.0000182926829268293</v>
      </c>
      <c r="AG134" s="98" t="str">
        <f t="shared" si="73"/>
        <v>0.0000201801282963797i</v>
      </c>
      <c r="AH134" s="98">
        <f t="shared" si="88"/>
        <v>2.0180128296379701E-5</v>
      </c>
      <c r="AI134" s="98">
        <f t="shared" si="89"/>
        <v>1.5707963267948966</v>
      </c>
      <c r="AJ134" s="98" t="str">
        <f t="shared" si="74"/>
        <v>1+0.00197825000454658i</v>
      </c>
      <c r="AK134" s="98">
        <f t="shared" si="90"/>
        <v>1.0000019567346259</v>
      </c>
      <c r="AL134" s="98">
        <f t="shared" si="91"/>
        <v>1.9782474239432597E-3</v>
      </c>
      <c r="AM134" s="98" t="str">
        <f t="shared" si="75"/>
        <v>1+0.199803250459205i</v>
      </c>
      <c r="AN134" s="98">
        <f t="shared" si="92"/>
        <v>1.0197653352090685</v>
      </c>
      <c r="AO134" s="98">
        <f t="shared" si="93"/>
        <v>0.1972063704431179</v>
      </c>
      <c r="AP134" s="168" t="str">
        <f t="shared" si="94"/>
        <v>-0.179321746291415+0.906824843839921i</v>
      </c>
      <c r="AQ134" s="98">
        <f t="shared" si="95"/>
        <v>-0.682942422798964</v>
      </c>
      <c r="AR134" s="169">
        <f t="shared" si="96"/>
        <v>101.18574749125952</v>
      </c>
      <c r="AS134" s="168" t="e">
        <f t="shared" si="97"/>
        <v>#DIV/0!</v>
      </c>
      <c r="AT134" s="190" t="e">
        <f t="shared" si="98"/>
        <v>#DIV/0!</v>
      </c>
      <c r="AU134" s="169" t="e">
        <f t="shared" si="99"/>
        <v>#DIV/0!</v>
      </c>
      <c r="AV134" s="225"/>
      <c r="AX134" t="e">
        <f t="shared" si="100"/>
        <v>#DIV/0!</v>
      </c>
      <c r="AY134" t="e">
        <f t="shared" si="101"/>
        <v>#DIV/0!</v>
      </c>
    </row>
    <row r="135" spans="14:51" x14ac:dyDescent="0.25">
      <c r="N135" s="170">
        <v>17</v>
      </c>
      <c r="O135" s="199">
        <f t="shared" si="102"/>
        <v>147.91083881682084</v>
      </c>
      <c r="P135" s="189" t="str">
        <f t="shared" si="67"/>
        <v>290</v>
      </c>
      <c r="Q135" s="160" t="e">
        <f t="shared" si="68"/>
        <v>#DIV/0!</v>
      </c>
      <c r="R135" s="160" t="e">
        <f t="shared" si="77"/>
        <v>#DIV/0!</v>
      </c>
      <c r="S135" s="160" t="e">
        <f t="shared" si="78"/>
        <v>#DIV/0!</v>
      </c>
      <c r="T135" s="160" t="e">
        <f t="shared" si="69"/>
        <v>#DIV/0!</v>
      </c>
      <c r="U135" s="160" t="e">
        <f t="shared" si="79"/>
        <v>#DIV/0!</v>
      </c>
      <c r="V135" s="160" t="e">
        <f t="shared" si="80"/>
        <v>#DIV/0!</v>
      </c>
      <c r="W135" s="98" t="str">
        <f t="shared" si="70"/>
        <v>1-0.00740576744852335i</v>
      </c>
      <c r="X135" s="160">
        <f t="shared" si="81"/>
        <v>1.0000274223197589</v>
      </c>
      <c r="Y135" s="160">
        <f t="shared" si="82"/>
        <v>-7.4056320622401493E-3</v>
      </c>
      <c r="Z135" s="98" t="str">
        <f t="shared" si="71"/>
        <v>0.999999547983136+0.000879416574220279i</v>
      </c>
      <c r="AA135" s="160">
        <f t="shared" si="83"/>
        <v>0.9999999346699916</v>
      </c>
      <c r="AB135" s="160">
        <f t="shared" si="84"/>
        <v>8.7941674502555064E-4</v>
      </c>
      <c r="AC135" s="171" t="e">
        <f t="shared" si="85"/>
        <v>#DIV/0!</v>
      </c>
      <c r="AD135" s="190" t="e">
        <f t="shared" si="86"/>
        <v>#DIV/0!</v>
      </c>
      <c r="AE135" s="169" t="e">
        <f t="shared" si="87"/>
        <v>#DIV/0!</v>
      </c>
      <c r="AF135" s="98" t="str">
        <f t="shared" si="72"/>
        <v>-0.0000182926829268293</v>
      </c>
      <c r="AG135" s="98" t="str">
        <f t="shared" si="73"/>
        <v>0.0000206501838690119i</v>
      </c>
      <c r="AH135" s="98">
        <f t="shared" si="88"/>
        <v>2.0650183869011902E-5</v>
      </c>
      <c r="AI135" s="98">
        <f t="shared" si="89"/>
        <v>1.5707963267948966</v>
      </c>
      <c r="AJ135" s="98" t="str">
        <f t="shared" si="74"/>
        <v>1+0.00202432936663189i</v>
      </c>
      <c r="AK135" s="98">
        <f t="shared" si="90"/>
        <v>1.0000020489525931</v>
      </c>
      <c r="AL135" s="98">
        <f t="shared" si="91"/>
        <v>2.0243266014659191E-3</v>
      </c>
      <c r="AM135" s="98" t="str">
        <f t="shared" si="75"/>
        <v>1+0.20445726602982i</v>
      </c>
      <c r="AN135" s="98">
        <f t="shared" si="92"/>
        <v>1.0206874025049926</v>
      </c>
      <c r="AO135" s="98">
        <f t="shared" si="93"/>
        <v>0.20167769587110065</v>
      </c>
      <c r="AP135" s="168" t="str">
        <f t="shared" si="94"/>
        <v>-0.17932171321811+0.886199328194649i</v>
      </c>
      <c r="AQ135" s="98">
        <f t="shared" si="95"/>
        <v>-0.87509302940333933</v>
      </c>
      <c r="AR135" s="169">
        <f t="shared" si="96"/>
        <v>101.43929542471702</v>
      </c>
      <c r="AS135" s="168" t="e">
        <f t="shared" si="97"/>
        <v>#DIV/0!</v>
      </c>
      <c r="AT135" s="190" t="e">
        <f t="shared" si="98"/>
        <v>#DIV/0!</v>
      </c>
      <c r="AU135" s="169" t="e">
        <f t="shared" si="99"/>
        <v>#DIV/0!</v>
      </c>
      <c r="AV135" s="225"/>
      <c r="AX135" t="e">
        <f t="shared" si="100"/>
        <v>#DIV/0!</v>
      </c>
      <c r="AY135" t="e">
        <f t="shared" si="101"/>
        <v>#DIV/0!</v>
      </c>
    </row>
    <row r="136" spans="14:51" x14ac:dyDescent="0.25">
      <c r="N136" s="170">
        <v>18</v>
      </c>
      <c r="O136" s="199">
        <f t="shared" si="102"/>
        <v>151.3561248436209</v>
      </c>
      <c r="P136" s="189" t="str">
        <f t="shared" si="67"/>
        <v>290</v>
      </c>
      <c r="Q136" s="160" t="e">
        <f t="shared" si="68"/>
        <v>#DIV/0!</v>
      </c>
      <c r="R136" s="160" t="e">
        <f t="shared" si="77"/>
        <v>#DIV/0!</v>
      </c>
      <c r="S136" s="160" t="e">
        <f t="shared" si="78"/>
        <v>#DIV/0!</v>
      </c>
      <c r="T136" s="160" t="e">
        <f t="shared" si="69"/>
        <v>#DIV/0!</v>
      </c>
      <c r="U136" s="160" t="e">
        <f t="shared" si="79"/>
        <v>#DIV/0!</v>
      </c>
      <c r="V136" s="160" t="e">
        <f t="shared" si="80"/>
        <v>#DIV/0!</v>
      </c>
      <c r="W136" s="98" t="str">
        <f t="shared" si="70"/>
        <v>1-0.00757826993253486i</v>
      </c>
      <c r="X136" s="160">
        <f t="shared" si="81"/>
        <v>1.0000287146753188</v>
      </c>
      <c r="Y136" s="160">
        <f t="shared" si="82"/>
        <v>-7.5781248637437184E-3</v>
      </c>
      <c r="Z136" s="98" t="str">
        <f t="shared" si="71"/>
        <v>0.999999526680237+0.000899900817695159i</v>
      </c>
      <c r="AA136" s="160">
        <f t="shared" si="83"/>
        <v>0.99999993159108758</v>
      </c>
      <c r="AB136" s="160">
        <f t="shared" si="84"/>
        <v>8.9990100071630434E-4</v>
      </c>
      <c r="AC136" s="171" t="e">
        <f t="shared" si="85"/>
        <v>#DIV/0!</v>
      </c>
      <c r="AD136" s="190" t="e">
        <f t="shared" si="86"/>
        <v>#DIV/0!</v>
      </c>
      <c r="AE136" s="169" t="e">
        <f t="shared" si="87"/>
        <v>#DIV/0!</v>
      </c>
      <c r="AF136" s="98" t="str">
        <f t="shared" si="72"/>
        <v>-0.0000182926829268293</v>
      </c>
      <c r="AG136" s="98" t="str">
        <f t="shared" si="73"/>
        <v>0.0000211311884424689i</v>
      </c>
      <c r="AH136" s="98">
        <f t="shared" si="88"/>
        <v>2.1131188442468899E-5</v>
      </c>
      <c r="AI136" s="98">
        <f t="shared" si="89"/>
        <v>1.5707963267948966</v>
      </c>
      <c r="AJ136" s="98" t="str">
        <f t="shared" si="74"/>
        <v>1+0.00207148205494255i</v>
      </c>
      <c r="AK136" s="98">
        <f t="shared" si="90"/>
        <v>1.0000021455166503</v>
      </c>
      <c r="AL136" s="98">
        <f t="shared" si="91"/>
        <v>2.0714790920141734E-3</v>
      </c>
      <c r="AM136" s="98" t="str">
        <f t="shared" si="75"/>
        <v>1+0.209219687549197i</v>
      </c>
      <c r="AN136" s="98">
        <f t="shared" si="92"/>
        <v>1.0216520335506525</v>
      </c>
      <c r="AO136" s="98">
        <f t="shared" si="93"/>
        <v>0.20624472291407991</v>
      </c>
      <c r="AP136" s="168" t="str">
        <f t="shared" si="94"/>
        <v>-0.179321678586122+0.866043687157112i</v>
      </c>
      <c r="AQ136" s="98">
        <f t="shared" si="95"/>
        <v>-1.0668888858801948</v>
      </c>
      <c r="AR136" s="169">
        <f t="shared" si="96"/>
        <v>101.69826516049987</v>
      </c>
      <c r="AS136" s="168" t="e">
        <f t="shared" si="97"/>
        <v>#DIV/0!</v>
      </c>
      <c r="AT136" s="190" t="e">
        <f t="shared" si="98"/>
        <v>#DIV/0!</v>
      </c>
      <c r="AU136" s="169" t="e">
        <f t="shared" si="99"/>
        <v>#DIV/0!</v>
      </c>
      <c r="AV136" s="225"/>
      <c r="AX136" t="e">
        <f t="shared" si="100"/>
        <v>#DIV/0!</v>
      </c>
      <c r="AY136" t="e">
        <f t="shared" si="101"/>
        <v>#DIV/0!</v>
      </c>
    </row>
    <row r="137" spans="14:51" x14ac:dyDescent="0.25">
      <c r="N137" s="170">
        <v>19</v>
      </c>
      <c r="O137" s="199">
        <f t="shared" si="102"/>
        <v>154.8816618912482</v>
      </c>
      <c r="P137" s="189" t="str">
        <f t="shared" si="67"/>
        <v>290</v>
      </c>
      <c r="Q137" s="160" t="e">
        <f t="shared" si="68"/>
        <v>#DIV/0!</v>
      </c>
      <c r="R137" s="160" t="e">
        <f t="shared" si="77"/>
        <v>#DIV/0!</v>
      </c>
      <c r="S137" s="160" t="e">
        <f t="shared" si="78"/>
        <v>#DIV/0!</v>
      </c>
      <c r="T137" s="160" t="e">
        <f t="shared" si="69"/>
        <v>#DIV/0!</v>
      </c>
      <c r="U137" s="160" t="e">
        <f t="shared" si="79"/>
        <v>#DIV/0!</v>
      </c>
      <c r="V137" s="160" t="e">
        <f t="shared" si="80"/>
        <v>#DIV/0!</v>
      </c>
      <c r="W137" s="98" t="str">
        <f t="shared" si="70"/>
        <v>1-0.00775479051557487i</v>
      </c>
      <c r="X137" s="160">
        <f t="shared" si="81"/>
        <v>1.00003006793593</v>
      </c>
      <c r="Y137" s="160">
        <f t="shared" si="82"/>
        <v>-7.754635071816997E-3</v>
      </c>
      <c r="Z137" s="98" t="str">
        <f t="shared" si="71"/>
        <v>0.999999504373364+0.000920862200495176i</v>
      </c>
      <c r="AA137" s="160">
        <f t="shared" si="83"/>
        <v>0.99999992836708052</v>
      </c>
      <c r="AB137" s="160">
        <f t="shared" si="84"/>
        <v>9.2086239660586484E-4</v>
      </c>
      <c r="AC137" s="171" t="e">
        <f t="shared" si="85"/>
        <v>#DIV/0!</v>
      </c>
      <c r="AD137" s="190" t="e">
        <f t="shared" si="86"/>
        <v>#DIV/0!</v>
      </c>
      <c r="AE137" s="169" t="e">
        <f t="shared" si="87"/>
        <v>#DIV/0!</v>
      </c>
      <c r="AF137" s="98" t="str">
        <f t="shared" si="72"/>
        <v>-0.0000182926829268293</v>
      </c>
      <c r="AG137" s="98" t="str">
        <f t="shared" si="73"/>
        <v>0.0000216233970517425i</v>
      </c>
      <c r="AH137" s="98">
        <f t="shared" si="88"/>
        <v>2.1623397051742501E-5</v>
      </c>
      <c r="AI137" s="98">
        <f t="shared" si="89"/>
        <v>1.5707963267948966</v>
      </c>
      <c r="AJ137" s="98" t="str">
        <f t="shared" si="74"/>
        <v>1+0.00211973307045804i</v>
      </c>
      <c r="AK137" s="98">
        <f t="shared" si="90"/>
        <v>1.0000022466316212</v>
      </c>
      <c r="AL137" s="98">
        <f t="shared" si="91"/>
        <v>2.1197298956234698E-3</v>
      </c>
      <c r="AM137" s="98" t="str">
        <f t="shared" si="75"/>
        <v>1+0.214093040116262i</v>
      </c>
      <c r="AN137" s="98">
        <f t="shared" si="92"/>
        <v>1.0226611510301071</v>
      </c>
      <c r="AO137" s="98">
        <f t="shared" si="93"/>
        <v>0.21090911064922191</v>
      </c>
      <c r="AP137" s="168" t="str">
        <f t="shared" si="94"/>
        <v>-0.179321642321992+0.846347233939181i</v>
      </c>
      <c r="AQ137" s="98">
        <f t="shared" si="95"/>
        <v>-1.258314675132721</v>
      </c>
      <c r="AR137" s="169">
        <f t="shared" si="96"/>
        <v>101.96275032433115</v>
      </c>
      <c r="AS137" s="168" t="e">
        <f t="shared" si="97"/>
        <v>#DIV/0!</v>
      </c>
      <c r="AT137" s="190" t="e">
        <f t="shared" si="98"/>
        <v>#DIV/0!</v>
      </c>
      <c r="AU137" s="169" t="e">
        <f t="shared" si="99"/>
        <v>#DIV/0!</v>
      </c>
      <c r="AV137" s="225"/>
      <c r="AX137" t="e">
        <f t="shared" si="100"/>
        <v>#DIV/0!</v>
      </c>
      <c r="AY137" t="e">
        <f t="shared" si="101"/>
        <v>#DIV/0!</v>
      </c>
    </row>
    <row r="138" spans="14:51" x14ac:dyDescent="0.25">
      <c r="N138" s="170">
        <v>20</v>
      </c>
      <c r="O138" s="199">
        <f t="shared" si="102"/>
        <v>158.48931924611153</v>
      </c>
      <c r="P138" s="189" t="str">
        <f t="shared" si="67"/>
        <v>290</v>
      </c>
      <c r="Q138" s="160" t="e">
        <f t="shared" si="68"/>
        <v>#DIV/0!</v>
      </c>
      <c r="R138" s="160" t="e">
        <f t="shared" si="77"/>
        <v>#DIV/0!</v>
      </c>
      <c r="S138" s="160" t="e">
        <f t="shared" si="78"/>
        <v>#DIV/0!</v>
      </c>
      <c r="T138" s="160" t="e">
        <f t="shared" si="69"/>
        <v>#DIV/0!</v>
      </c>
      <c r="U138" s="160" t="e">
        <f t="shared" si="79"/>
        <v>#DIV/0!</v>
      </c>
      <c r="V138" s="160" t="e">
        <f t="shared" si="80"/>
        <v>#DIV/0!</v>
      </c>
      <c r="W138" s="98" t="str">
        <f t="shared" si="70"/>
        <v>1-0.00793542279119303i</v>
      </c>
      <c r="X138" s="160">
        <f t="shared" si="81"/>
        <v>1.0000314849717857</v>
      </c>
      <c r="Y138" s="160">
        <f t="shared" si="82"/>
        <v>-7.935256230488812E-3</v>
      </c>
      <c r="Z138" s="98" t="str">
        <f t="shared" si="71"/>
        <v>0.9999994810152+0.00094231183662295i</v>
      </c>
      <c r="AA138" s="160">
        <f t="shared" si="83"/>
        <v>0.99999992499113055</v>
      </c>
      <c r="AB138" s="160">
        <f t="shared" si="84"/>
        <v>9.423120467593381E-4</v>
      </c>
      <c r="AC138" s="171" t="e">
        <f t="shared" si="85"/>
        <v>#DIV/0!</v>
      </c>
      <c r="AD138" s="190" t="e">
        <f t="shared" si="86"/>
        <v>#DIV/0!</v>
      </c>
      <c r="AE138" s="169" t="e">
        <f t="shared" si="87"/>
        <v>#DIV/0!</v>
      </c>
      <c r="AF138" s="98" t="str">
        <f t="shared" si="72"/>
        <v>-0.0000182926829268293</v>
      </c>
      <c r="AG138" s="98" t="str">
        <f t="shared" si="73"/>
        <v>0.0000221270706723524i</v>
      </c>
      <c r="AH138" s="98">
        <f t="shared" si="88"/>
        <v>2.21270706723524E-5</v>
      </c>
      <c r="AI138" s="98">
        <f t="shared" si="89"/>
        <v>1.5707963267948966</v>
      </c>
      <c r="AJ138" s="98" t="str">
        <f t="shared" si="74"/>
        <v>1+0.00216910799650548i</v>
      </c>
      <c r="AK138" s="98">
        <f t="shared" si="90"/>
        <v>1.000002352511983</v>
      </c>
      <c r="AL138" s="98">
        <f t="shared" si="91"/>
        <v>2.1691045946093794E-3</v>
      </c>
      <c r="AM138" s="98" t="str">
        <f t="shared" si="75"/>
        <v>1+0.219079907647054i</v>
      </c>
      <c r="AN138" s="98">
        <f t="shared" si="92"/>
        <v>1.0237167606006272</v>
      </c>
      <c r="AO138" s="98">
        <f t="shared" si="93"/>
        <v>0.21567251997212808</v>
      </c>
      <c r="AP138" s="168" t="str">
        <f t="shared" si="94"/>
        <v>-0.179321604348804+0.827099525220172i</v>
      </c>
      <c r="AQ138" s="98">
        <f t="shared" si="95"/>
        <v>-1.4493544845417594</v>
      </c>
      <c r="AR138" s="169">
        <f t="shared" si="96"/>
        <v>102.23284461276033</v>
      </c>
      <c r="AS138" s="168" t="e">
        <f t="shared" si="97"/>
        <v>#DIV/0!</v>
      </c>
      <c r="AT138" s="190" t="e">
        <f t="shared" si="98"/>
        <v>#DIV/0!</v>
      </c>
      <c r="AU138" s="169" t="e">
        <f t="shared" si="99"/>
        <v>#DIV/0!</v>
      </c>
      <c r="AV138" s="225"/>
      <c r="AX138" t="e">
        <f t="shared" si="100"/>
        <v>#DIV/0!</v>
      </c>
      <c r="AY138" t="e">
        <f t="shared" si="101"/>
        <v>#DIV/0!</v>
      </c>
    </row>
    <row r="139" spans="14:51" x14ac:dyDescent="0.25">
      <c r="N139" s="170">
        <v>21</v>
      </c>
      <c r="O139" s="199">
        <f t="shared" si="102"/>
        <v>162.18100973589304</v>
      </c>
      <c r="P139" s="189" t="str">
        <f t="shared" si="67"/>
        <v>290</v>
      </c>
      <c r="Q139" s="160" t="e">
        <f t="shared" si="68"/>
        <v>#DIV/0!</v>
      </c>
      <c r="R139" s="160" t="e">
        <f t="shared" si="77"/>
        <v>#DIV/0!</v>
      </c>
      <c r="S139" s="160" t="e">
        <f t="shared" si="78"/>
        <v>#DIV/0!</v>
      </c>
      <c r="T139" s="160" t="e">
        <f t="shared" si="69"/>
        <v>#DIV/0!</v>
      </c>
      <c r="U139" s="160" t="e">
        <f t="shared" si="79"/>
        <v>#DIV/0!</v>
      </c>
      <c r="V139" s="160" t="e">
        <f t="shared" si="80"/>
        <v>#DIV/0!</v>
      </c>
      <c r="W139" s="98" t="str">
        <f t="shared" si="70"/>
        <v>1-0.00812026253301278i</v>
      </c>
      <c r="X139" s="160">
        <f t="shared" si="81"/>
        <v>1.000032968788332</v>
      </c>
      <c r="Y139" s="160">
        <f t="shared" si="82"/>
        <v>-8.120084060320493E-3</v>
      </c>
      <c r="Z139" s="98" t="str">
        <f t="shared" si="71"/>
        <v>0.9999994565562+0.000964261098959468i</v>
      </c>
      <c r="AA139" s="160">
        <f t="shared" si="83"/>
        <v>0.99999992145607797</v>
      </c>
      <c r="AB139" s="160">
        <f t="shared" si="84"/>
        <v>9.6426132412466277E-4</v>
      </c>
      <c r="AC139" s="171" t="e">
        <f t="shared" si="85"/>
        <v>#DIV/0!</v>
      </c>
      <c r="AD139" s="190" t="e">
        <f t="shared" si="86"/>
        <v>#DIV/0!</v>
      </c>
      <c r="AE139" s="169" t="e">
        <f t="shared" si="87"/>
        <v>#DIV/0!</v>
      </c>
      <c r="AF139" s="98" t="str">
        <f t="shared" si="72"/>
        <v>-0.0000182926829268293</v>
      </c>
      <c r="AG139" s="98" t="str">
        <f t="shared" si="73"/>
        <v>0.0000226424763587192i</v>
      </c>
      <c r="AH139" s="98">
        <f t="shared" si="88"/>
        <v>2.2642476358719198E-5</v>
      </c>
      <c r="AI139" s="98">
        <f t="shared" si="89"/>
        <v>1.5707963267948966</v>
      </c>
      <c r="AJ139" s="98" t="str">
        <f t="shared" si="74"/>
        <v>1+0.0022196330123242i</v>
      </c>
      <c r="AK139" s="98">
        <f t="shared" si="90"/>
        <v>1.0000024633823206</v>
      </c>
      <c r="AL139" s="98">
        <f t="shared" si="91"/>
        <v>2.2196293671273388E-3</v>
      </c>
      <c r="AM139" s="98" t="str">
        <f t="shared" si="75"/>
        <v>1+0.224182934244744i</v>
      </c>
      <c r="AN139" s="98">
        <f t="shared" si="92"/>
        <v>1.0248209541215398</v>
      </c>
      <c r="AO139" s="98">
        <f t="shared" si="93"/>
        <v>0.22053661145023215</v>
      </c>
      <c r="AP139" s="168" t="str">
        <f t="shared" si="94"/>
        <v>-0.17932156458601+0.808290355609622i</v>
      </c>
      <c r="AQ139" s="98">
        <f t="shared" si="95"/>
        <v>-1.6399917888536129</v>
      </c>
      <c r="AR139" s="169">
        <f t="shared" si="96"/>
        <v>102.50864166939513</v>
      </c>
      <c r="AS139" s="168" t="e">
        <f t="shared" si="97"/>
        <v>#DIV/0!</v>
      </c>
      <c r="AT139" s="190" t="e">
        <f t="shared" si="98"/>
        <v>#DIV/0!</v>
      </c>
      <c r="AU139" s="169" t="e">
        <f t="shared" si="99"/>
        <v>#DIV/0!</v>
      </c>
      <c r="AV139" s="225"/>
      <c r="AX139" t="e">
        <f t="shared" si="100"/>
        <v>#DIV/0!</v>
      </c>
      <c r="AY139" t="e">
        <f t="shared" si="101"/>
        <v>#DIV/0!</v>
      </c>
    </row>
    <row r="140" spans="14:51" x14ac:dyDescent="0.25">
      <c r="N140" s="170">
        <v>22</v>
      </c>
      <c r="O140" s="199">
        <f t="shared" si="102"/>
        <v>165.95869074375622</v>
      </c>
      <c r="P140" s="189" t="str">
        <f t="shared" si="67"/>
        <v>290</v>
      </c>
      <c r="Q140" s="160" t="e">
        <f t="shared" si="68"/>
        <v>#DIV/0!</v>
      </c>
      <c r="R140" s="160" t="e">
        <f t="shared" si="77"/>
        <v>#DIV/0!</v>
      </c>
      <c r="S140" s="160" t="e">
        <f t="shared" si="78"/>
        <v>#DIV/0!</v>
      </c>
      <c r="T140" s="160" t="e">
        <f t="shared" si="69"/>
        <v>#DIV/0!</v>
      </c>
      <c r="U140" s="160" t="e">
        <f t="shared" si="79"/>
        <v>#DIV/0!</v>
      </c>
      <c r="V140" s="160" t="e">
        <f t="shared" si="80"/>
        <v>#DIV/0!</v>
      </c>
      <c r="W140" s="98" t="str">
        <f t="shared" si="70"/>
        <v>1-0.00830940774551197i</v>
      </c>
      <c r="X140" s="160">
        <f t="shared" si="81"/>
        <v>1.0000345225326379</v>
      </c>
      <c r="Y140" s="160">
        <f t="shared" si="82"/>
        <v>-8.3092165089332787E-3</v>
      </c>
      <c r="Z140" s="98" t="str">
        <f t="shared" si="71"/>
        <v>0.999999430944483+0.000986721625294166i</v>
      </c>
      <c r="AA140" s="160">
        <f t="shared" si="83"/>
        <v>0.99999991775442432</v>
      </c>
      <c r="AB140" s="160">
        <f t="shared" si="84"/>
        <v>9.8672186656301696E-4</v>
      </c>
      <c r="AC140" s="171" t="e">
        <f t="shared" si="85"/>
        <v>#DIV/0!</v>
      </c>
      <c r="AD140" s="190" t="e">
        <f t="shared" si="86"/>
        <v>#DIV/0!</v>
      </c>
      <c r="AE140" s="169" t="e">
        <f t="shared" si="87"/>
        <v>#DIV/0!</v>
      </c>
      <c r="AF140" s="98" t="str">
        <f t="shared" si="72"/>
        <v>-0.0000182926829268293</v>
      </c>
      <c r="AG140" s="98" t="str">
        <f t="shared" si="73"/>
        <v>0.00002316988738576i</v>
      </c>
      <c r="AH140" s="98">
        <f t="shared" si="88"/>
        <v>2.3169887385760001E-5</v>
      </c>
      <c r="AI140" s="98">
        <f t="shared" si="89"/>
        <v>1.5707963267948966</v>
      </c>
      <c r="AJ140" s="98" t="str">
        <f t="shared" si="74"/>
        <v>1+0.00227133490694638i</v>
      </c>
      <c r="AK140" s="98">
        <f t="shared" si="90"/>
        <v>1.0000025794778029</v>
      </c>
      <c r="AL140" s="98">
        <f t="shared" si="91"/>
        <v>2.2713310010481153E-3</v>
      </c>
      <c r="AM140" s="98" t="str">
        <f t="shared" si="75"/>
        <v>1+0.229404825601584i</v>
      </c>
      <c r="AN140" s="98">
        <f t="shared" si="92"/>
        <v>1.0259759129771484</v>
      </c>
      <c r="AO140" s="98">
        <f t="shared" si="93"/>
        <v>0.22550304301796598</v>
      </c>
      <c r="AP140" s="168" t="str">
        <f t="shared" si="94"/>
        <v>-0.179321522949273+0.789909752236282i</v>
      </c>
      <c r="AQ140" s="98">
        <f t="shared" si="95"/>
        <v>-1.8302094331495489</v>
      </c>
      <c r="AR140" s="169">
        <f t="shared" si="96"/>
        <v>102.79023495204925</v>
      </c>
      <c r="AS140" s="168" t="e">
        <f t="shared" si="97"/>
        <v>#DIV/0!</v>
      </c>
      <c r="AT140" s="190" t="e">
        <f t="shared" si="98"/>
        <v>#DIV/0!</v>
      </c>
      <c r="AU140" s="169" t="e">
        <f t="shared" si="99"/>
        <v>#DIV/0!</v>
      </c>
      <c r="AV140" s="225"/>
      <c r="AX140" t="e">
        <f t="shared" si="100"/>
        <v>#DIV/0!</v>
      </c>
      <c r="AY140" t="e">
        <f t="shared" si="101"/>
        <v>#DIV/0!</v>
      </c>
    </row>
    <row r="141" spans="14:51" x14ac:dyDescent="0.25">
      <c r="N141" s="170">
        <v>23</v>
      </c>
      <c r="O141" s="199">
        <f t="shared" si="102"/>
        <v>169.82436524617444</v>
      </c>
      <c r="P141" s="189" t="str">
        <f t="shared" si="67"/>
        <v>290</v>
      </c>
      <c r="Q141" s="160" t="e">
        <f t="shared" si="68"/>
        <v>#DIV/0!</v>
      </c>
      <c r="R141" s="160" t="e">
        <f t="shared" si="77"/>
        <v>#DIV/0!</v>
      </c>
      <c r="S141" s="160" t="e">
        <f t="shared" si="78"/>
        <v>#DIV/0!</v>
      </c>
      <c r="T141" s="160" t="e">
        <f t="shared" si="69"/>
        <v>#DIV/0!</v>
      </c>
      <c r="U141" s="160" t="e">
        <f t="shared" si="79"/>
        <v>#DIV/0!</v>
      </c>
      <c r="V141" s="160" t="e">
        <f t="shared" si="80"/>
        <v>#DIV/0!</v>
      </c>
      <c r="W141" s="98" t="str">
        <f t="shared" si="70"/>
        <v>1-0.00850295871598578i</v>
      </c>
      <c r="X141" s="160">
        <f t="shared" si="81"/>
        <v>1.0000361495000698</v>
      </c>
      <c r="Y141" s="160">
        <f t="shared" si="82"/>
        <v>-8.5027538026999031E-3</v>
      </c>
      <c r="Z141" s="98" t="str">
        <f t="shared" si="71"/>
        <v>0.999999404125723+0.00100970532449539i</v>
      </c>
      <c r="AA141" s="160">
        <f t="shared" si="83"/>
        <v>0.99999991387831799</v>
      </c>
      <c r="AB141" s="160">
        <f t="shared" si="84"/>
        <v>1.0097055830196194E-3</v>
      </c>
      <c r="AC141" s="171" t="e">
        <f t="shared" si="85"/>
        <v>#DIV/0!</v>
      </c>
      <c r="AD141" s="190" t="e">
        <f t="shared" si="86"/>
        <v>#DIV/0!</v>
      </c>
      <c r="AE141" s="169" t="e">
        <f t="shared" si="87"/>
        <v>#DIV/0!</v>
      </c>
      <c r="AF141" s="98" t="str">
        <f t="shared" si="72"/>
        <v>-0.0000182926829268293</v>
      </c>
      <c r="AG141" s="98" t="str">
        <f t="shared" si="73"/>
        <v>0.0000237095833937825i</v>
      </c>
      <c r="AH141" s="98">
        <f t="shared" si="88"/>
        <v>2.3709583393782501E-5</v>
      </c>
      <c r="AI141" s="98">
        <f t="shared" si="89"/>
        <v>1.5707963267948966</v>
      </c>
      <c r="AJ141" s="98" t="str">
        <f t="shared" si="74"/>
        <v>1+0.00232424109340088i</v>
      </c>
      <c r="AK141" s="98">
        <f t="shared" si="90"/>
        <v>1.0000027010446824</v>
      </c>
      <c r="AL141" s="98">
        <f t="shared" si="91"/>
        <v>2.3242369081560958E-3</v>
      </c>
      <c r="AM141" s="98" t="str">
        <f t="shared" si="75"/>
        <v>1+0.234748350433489i</v>
      </c>
      <c r="AN141" s="98">
        <f t="shared" si="92"/>
        <v>1.0271839114935768</v>
      </c>
      <c r="AO141" s="98">
        <f t="shared" si="93"/>
        <v>0.2305734675071725</v>
      </c>
      <c r="AP141" s="168" t="str">
        <f t="shared" si="94"/>
        <v>-0.179321479350276+0.771947969460353i</v>
      </c>
      <c r="AQ141" s="98">
        <f t="shared" si="95"/>
        <v>-2.0199896159658017</v>
      </c>
      <c r="AR141" s="169">
        <f t="shared" si="96"/>
        <v>103.07771759043189</v>
      </c>
      <c r="AS141" s="168" t="e">
        <f t="shared" si="97"/>
        <v>#DIV/0!</v>
      </c>
      <c r="AT141" s="190" t="e">
        <f t="shared" si="98"/>
        <v>#DIV/0!</v>
      </c>
      <c r="AU141" s="169" t="e">
        <f t="shared" si="99"/>
        <v>#DIV/0!</v>
      </c>
      <c r="AV141" s="225"/>
      <c r="AX141" t="e">
        <f t="shared" si="100"/>
        <v>#DIV/0!</v>
      </c>
      <c r="AY141" t="e">
        <f t="shared" si="101"/>
        <v>#DIV/0!</v>
      </c>
    </row>
    <row r="142" spans="14:51" x14ac:dyDescent="0.25">
      <c r="N142" s="170">
        <v>24</v>
      </c>
      <c r="O142" s="199">
        <f t="shared" si="102"/>
        <v>173.78008287493768</v>
      </c>
      <c r="P142" s="189" t="str">
        <f t="shared" si="67"/>
        <v>290</v>
      </c>
      <c r="Q142" s="160" t="e">
        <f t="shared" si="68"/>
        <v>#DIV/0!</v>
      </c>
      <c r="R142" s="160" t="e">
        <f t="shared" si="77"/>
        <v>#DIV/0!</v>
      </c>
      <c r="S142" s="160" t="e">
        <f t="shared" si="78"/>
        <v>#DIV/0!</v>
      </c>
      <c r="T142" s="160" t="e">
        <f t="shared" si="69"/>
        <v>#DIV/0!</v>
      </c>
      <c r="U142" s="160" t="e">
        <f t="shared" si="79"/>
        <v>#DIV/0!</v>
      </c>
      <c r="V142" s="160" t="e">
        <f t="shared" si="80"/>
        <v>#DIV/0!</v>
      </c>
      <c r="W142" s="98" t="str">
        <f t="shared" si="70"/>
        <v>1-0.00870101806772085i</v>
      </c>
      <c r="X142" s="160">
        <f t="shared" si="81"/>
        <v>1.0000378531412772</v>
      </c>
      <c r="Y142" s="160">
        <f t="shared" si="82"/>
        <v>-8.7007984996279996E-3</v>
      </c>
      <c r="Z142" s="98" t="str">
        <f t="shared" si="71"/>
        <v>0.999999376043033+0.0010332243828247i</v>
      </c>
      <c r="AA142" s="160">
        <f t="shared" si="83"/>
        <v>0.99999990981953624</v>
      </c>
      <c r="AB142" s="160">
        <f t="shared" si="84"/>
        <v>1.0332246598384008E-3</v>
      </c>
      <c r="AC142" s="171" t="e">
        <f t="shared" si="85"/>
        <v>#DIV/0!</v>
      </c>
      <c r="AD142" s="190" t="e">
        <f t="shared" si="86"/>
        <v>#DIV/0!</v>
      </c>
      <c r="AE142" s="169" t="e">
        <f t="shared" si="87"/>
        <v>#DIV/0!</v>
      </c>
      <c r="AF142" s="98" t="str">
        <f t="shared" si="72"/>
        <v>-0.0000182926829268293</v>
      </c>
      <c r="AG142" s="98" t="str">
        <f t="shared" si="73"/>
        <v>0.0000242618505367538i</v>
      </c>
      <c r="AH142" s="98">
        <f t="shared" si="88"/>
        <v>2.42618505367538E-5</v>
      </c>
      <c r="AI142" s="98">
        <f t="shared" si="89"/>
        <v>1.5707963267948966</v>
      </c>
      <c r="AJ142" s="98" t="str">
        <f t="shared" si="74"/>
        <v>1+0.00237837962324809i</v>
      </c>
      <c r="AK142" s="98">
        <f t="shared" si="90"/>
        <v>1.0000028283408164</v>
      </c>
      <c r="AL142" s="98">
        <f t="shared" si="91"/>
        <v>2.378375138678192E-3</v>
      </c>
      <c r="AM142" s="98" t="str">
        <f t="shared" si="75"/>
        <v>1+0.240216341948057i</v>
      </c>
      <c r="AN142" s="98">
        <f t="shared" si="92"/>
        <v>1.0284473204490865</v>
      </c>
      <c r="AO142" s="98">
        <f t="shared" si="93"/>
        <v>0.23574953000643245</v>
      </c>
      <c r="AP142" s="168" t="str">
        <f t="shared" si="94"/>
        <v>-0.179321433696547+0.754395483706218i</v>
      </c>
      <c r="AQ142" s="98">
        <f t="shared" si="95"/>
        <v>-2.2093138726375696</v>
      </c>
      <c r="AR142" s="169">
        <f t="shared" si="96"/>
        <v>103.37118223401625</v>
      </c>
      <c r="AS142" s="168" t="e">
        <f t="shared" si="97"/>
        <v>#DIV/0!</v>
      </c>
      <c r="AT142" s="190" t="e">
        <f t="shared" si="98"/>
        <v>#DIV/0!</v>
      </c>
      <c r="AU142" s="169" t="e">
        <f t="shared" si="99"/>
        <v>#DIV/0!</v>
      </c>
      <c r="AV142" s="225"/>
      <c r="AX142" t="e">
        <f t="shared" si="100"/>
        <v>#DIV/0!</v>
      </c>
      <c r="AY142" t="e">
        <f t="shared" si="101"/>
        <v>#DIV/0!</v>
      </c>
    </row>
    <row r="143" spans="14:51" x14ac:dyDescent="0.25">
      <c r="N143" s="170">
        <v>25</v>
      </c>
      <c r="O143" s="199">
        <f t="shared" si="102"/>
        <v>177.82794100389242</v>
      </c>
      <c r="P143" s="189" t="str">
        <f t="shared" si="67"/>
        <v>290</v>
      </c>
      <c r="Q143" s="160" t="e">
        <f t="shared" si="68"/>
        <v>#DIV/0!</v>
      </c>
      <c r="R143" s="160" t="e">
        <f t="shared" si="77"/>
        <v>#DIV/0!</v>
      </c>
      <c r="S143" s="160" t="e">
        <f t="shared" si="78"/>
        <v>#DIV/0!</v>
      </c>
      <c r="T143" s="160" t="e">
        <f t="shared" si="69"/>
        <v>#DIV/0!</v>
      </c>
      <c r="U143" s="160" t="e">
        <f t="shared" si="79"/>
        <v>#DIV/0!</v>
      </c>
      <c r="V143" s="160" t="e">
        <f t="shared" si="80"/>
        <v>#DIV/0!</v>
      </c>
      <c r="W143" s="98" t="str">
        <f t="shared" si="70"/>
        <v>1-0.008903690814407i</v>
      </c>
      <c r="X143" s="160">
        <f t="shared" si="81"/>
        <v>1.0000396370695106</v>
      </c>
      <c r="Y143" s="160">
        <f t="shared" si="82"/>
        <v>-8.9034555434603334E-3</v>
      </c>
      <c r="Z143" s="98" t="str">
        <f t="shared" si="71"/>
        <v>0.999999346636847+0.00105729127039813i</v>
      </c>
      <c r="AA143" s="160">
        <f t="shared" si="83"/>
        <v>0.99999990556947127</v>
      </c>
      <c r="AB143" s="160">
        <f t="shared" si="84"/>
        <v>1.057291567223656E-3</v>
      </c>
      <c r="AC143" s="171" t="e">
        <f t="shared" si="85"/>
        <v>#DIV/0!</v>
      </c>
      <c r="AD143" s="190" t="e">
        <f t="shared" si="86"/>
        <v>#DIV/0!</v>
      </c>
      <c r="AE143" s="169" t="e">
        <f t="shared" si="87"/>
        <v>#DIV/0!</v>
      </c>
      <c r="AF143" s="98" t="str">
        <f t="shared" si="72"/>
        <v>-0.0000182926829268293</v>
      </c>
      <c r="AG143" s="98" t="str">
        <f t="shared" si="73"/>
        <v>0.0000248269816340232i</v>
      </c>
      <c r="AH143" s="98">
        <f t="shared" si="88"/>
        <v>2.4826981634023202E-5</v>
      </c>
      <c r="AI143" s="98">
        <f t="shared" si="89"/>
        <v>1.5707963267948966</v>
      </c>
      <c r="AJ143" s="98" t="str">
        <f t="shared" si="74"/>
        <v>1+0.00243377920145312i</v>
      </c>
      <c r="AK143" s="98">
        <f t="shared" si="90"/>
        <v>1.0000029616362152</v>
      </c>
      <c r="AL143" s="98">
        <f t="shared" si="91"/>
        <v>2.4337743961506671E-3</v>
      </c>
      <c r="AM143" s="98" t="str">
        <f t="shared" si="75"/>
        <v>1+0.245811699346765i</v>
      </c>
      <c r="AN143" s="98">
        <f t="shared" si="92"/>
        <v>1.0297686106770512</v>
      </c>
      <c r="AO143" s="98">
        <f t="shared" si="93"/>
        <v>0.24103286504305158</v>
      </c>
      <c r="AP143" s="168" t="str">
        <f t="shared" si="94"/>
        <v>-0.179321385891248+0.737242988412912i</v>
      </c>
      <c r="AQ143" s="98">
        <f t="shared" si="95"/>
        <v>-2.3981630589484899</v>
      </c>
      <c r="AR143" s="169">
        <f t="shared" si="96"/>
        <v>103.67072088972674</v>
      </c>
      <c r="AS143" s="168" t="e">
        <f t="shared" si="97"/>
        <v>#DIV/0!</v>
      </c>
      <c r="AT143" s="190" t="e">
        <f t="shared" si="98"/>
        <v>#DIV/0!</v>
      </c>
      <c r="AU143" s="169" t="e">
        <f t="shared" si="99"/>
        <v>#DIV/0!</v>
      </c>
      <c r="AV143" s="225"/>
      <c r="AX143" t="e">
        <f t="shared" si="100"/>
        <v>#DIV/0!</v>
      </c>
      <c r="AY143" t="e">
        <f t="shared" si="101"/>
        <v>#DIV/0!</v>
      </c>
    </row>
    <row r="144" spans="14:51" x14ac:dyDescent="0.25">
      <c r="N144" s="170">
        <v>26</v>
      </c>
      <c r="O144" s="199">
        <f t="shared" si="102"/>
        <v>181.9700858609983</v>
      </c>
      <c r="P144" s="189" t="str">
        <f t="shared" si="67"/>
        <v>290</v>
      </c>
      <c r="Q144" s="160" t="e">
        <f t="shared" si="68"/>
        <v>#DIV/0!</v>
      </c>
      <c r="R144" s="160" t="e">
        <f t="shared" si="77"/>
        <v>#DIV/0!</v>
      </c>
      <c r="S144" s="160" t="e">
        <f t="shared" si="78"/>
        <v>#DIV/0!</v>
      </c>
      <c r="T144" s="160" t="e">
        <f t="shared" si="69"/>
        <v>#DIV/0!</v>
      </c>
      <c r="U144" s="160" t="e">
        <f t="shared" si="79"/>
        <v>#DIV/0!</v>
      </c>
      <c r="V144" s="160" t="e">
        <f t="shared" si="80"/>
        <v>#DIV/0!</v>
      </c>
      <c r="W144" s="98" t="str">
        <f t="shared" si="70"/>
        <v>1-0.00911108441581714i</v>
      </c>
      <c r="X144" s="160">
        <f t="shared" si="81"/>
        <v>1.0000415050682807</v>
      </c>
      <c r="Y144" s="160">
        <f t="shared" si="82"/>
        <v>-9.1108323190209079E-3</v>
      </c>
      <c r="Z144" s="98" t="str">
        <f t="shared" si="71"/>
        <v>0.99999931584479+0.00108191874779801i</v>
      </c>
      <c r="AA144" s="160">
        <f t="shared" si="83"/>
        <v>0.99999990111910753</v>
      </c>
      <c r="AB144" s="160">
        <f t="shared" si="84"/>
        <v>1.0819190658522887E-3</v>
      </c>
      <c r="AC144" s="171" t="e">
        <f t="shared" si="85"/>
        <v>#DIV/0!</v>
      </c>
      <c r="AD144" s="190" t="e">
        <f t="shared" si="86"/>
        <v>#DIV/0!</v>
      </c>
      <c r="AE144" s="169" t="e">
        <f t="shared" si="87"/>
        <v>#DIV/0!</v>
      </c>
      <c r="AF144" s="98" t="str">
        <f t="shared" si="72"/>
        <v>-0.0000182926829268293</v>
      </c>
      <c r="AG144" s="98" t="str">
        <f t="shared" si="73"/>
        <v>0.0000254052763255789i</v>
      </c>
      <c r="AH144" s="98">
        <f t="shared" si="88"/>
        <v>2.5405276325578899E-5</v>
      </c>
      <c r="AI144" s="98">
        <f t="shared" si="89"/>
        <v>1.5707963267948966</v>
      </c>
      <c r="AJ144" s="98" t="str">
        <f t="shared" si="74"/>
        <v>1+0.00249046920160561i</v>
      </c>
      <c r="AK144" s="98">
        <f t="shared" si="90"/>
        <v>1.0000031012136132</v>
      </c>
      <c r="AL144" s="98">
        <f t="shared" si="91"/>
        <v>2.4904640526321269E-3</v>
      </c>
      <c r="AM144" s="98" t="str">
        <f t="shared" si="75"/>
        <v>1+0.251537389362166i</v>
      </c>
      <c r="AN144" s="98">
        <f t="shared" si="92"/>
        <v>1.0311503567604163</v>
      </c>
      <c r="AO144" s="98">
        <f t="shared" si="93"/>
        <v>0.24642509358174591</v>
      </c>
      <c r="AP144" s="168" t="str">
        <f t="shared" si="94"/>
        <v>-0.179321335832981+0.720481389099658i</v>
      </c>
      <c r="AQ144" s="98">
        <f t="shared" si="95"/>
        <v>-2.5865173351737418</v>
      </c>
      <c r="AR144" s="169">
        <f t="shared" si="96"/>
        <v>103.97642474910553</v>
      </c>
      <c r="AS144" s="168" t="e">
        <f t="shared" si="97"/>
        <v>#DIV/0!</v>
      </c>
      <c r="AT144" s="190" t="e">
        <f t="shared" si="98"/>
        <v>#DIV/0!</v>
      </c>
      <c r="AU144" s="169" t="e">
        <f t="shared" si="99"/>
        <v>#DIV/0!</v>
      </c>
      <c r="AV144" s="225"/>
      <c r="AX144" t="e">
        <f t="shared" si="100"/>
        <v>#DIV/0!</v>
      </c>
      <c r="AY144" t="e">
        <f t="shared" si="101"/>
        <v>#DIV/0!</v>
      </c>
    </row>
    <row r="145" spans="14:51" x14ac:dyDescent="0.25">
      <c r="N145" s="170">
        <v>27</v>
      </c>
      <c r="O145" s="199">
        <f t="shared" si="102"/>
        <v>186.20871366628685</v>
      </c>
      <c r="P145" s="189" t="str">
        <f t="shared" si="67"/>
        <v>290</v>
      </c>
      <c r="Q145" s="160" t="e">
        <f t="shared" si="68"/>
        <v>#DIV/0!</v>
      </c>
      <c r="R145" s="160" t="e">
        <f t="shared" si="77"/>
        <v>#DIV/0!</v>
      </c>
      <c r="S145" s="160" t="e">
        <f t="shared" si="78"/>
        <v>#DIV/0!</v>
      </c>
      <c r="T145" s="160" t="e">
        <f t="shared" si="69"/>
        <v>#DIV/0!</v>
      </c>
      <c r="U145" s="160" t="e">
        <f t="shared" si="79"/>
        <v>#DIV/0!</v>
      </c>
      <c r="V145" s="160" t="e">
        <f t="shared" si="80"/>
        <v>#DIV/0!</v>
      </c>
      <c r="W145" s="98" t="str">
        <f t="shared" si="70"/>
        <v>1-0.00932330883478406i</v>
      </c>
      <c r="X145" s="160">
        <f t="shared" si="81"/>
        <v>1.0000434610993807</v>
      </c>
      <c r="Y145" s="160">
        <f t="shared" si="82"/>
        <v>-9.3230387088341429E-3</v>
      </c>
      <c r="Z145" s="98" t="str">
        <f t="shared" si="71"/>
        <v>0.999999283601549+0.00110711987283888i</v>
      </c>
      <c r="AA145" s="160">
        <f t="shared" si="83"/>
        <v>0.99999989645900655</v>
      </c>
      <c r="AB145" s="160">
        <f t="shared" si="84"/>
        <v>1.1071202136401759E-3</v>
      </c>
      <c r="AC145" s="171" t="e">
        <f t="shared" si="85"/>
        <v>#DIV/0!</v>
      </c>
      <c r="AD145" s="190" t="e">
        <f t="shared" si="86"/>
        <v>#DIV/0!</v>
      </c>
      <c r="AE145" s="169" t="e">
        <f t="shared" si="87"/>
        <v>#DIV/0!</v>
      </c>
      <c r="AF145" s="98" t="str">
        <f t="shared" si="72"/>
        <v>-0.0000182926829268293</v>
      </c>
      <c r="AG145" s="98" t="str">
        <f t="shared" si="73"/>
        <v>0.000025997041230921i</v>
      </c>
      <c r="AH145" s="98">
        <f t="shared" si="88"/>
        <v>2.5997041230920999E-5</v>
      </c>
      <c r="AI145" s="98">
        <f t="shared" si="89"/>
        <v>1.5707963267948966</v>
      </c>
      <c r="AJ145" s="98" t="str">
        <f t="shared" si="74"/>
        <v>1+0.00254847968149406i</v>
      </c>
      <c r="AK145" s="98">
        <f t="shared" si="90"/>
        <v>1.0000032473690708</v>
      </c>
      <c r="AL145" s="98">
        <f t="shared" si="91"/>
        <v>2.5484741642705384E-3</v>
      </c>
      <c r="AM145" s="98" t="str">
        <f t="shared" si="75"/>
        <v>1+0.2573964478309i</v>
      </c>
      <c r="AN145" s="98">
        <f t="shared" si="92"/>
        <v>1.0325952408160544</v>
      </c>
      <c r="AO145" s="98">
        <f t="shared" si="93"/>
        <v>0.25192781983432494</v>
      </c>
      <c r="AP145" s="168" t="str">
        <f t="shared" si="94"/>
        <v>-0.179321283415571+0.704101798543851i</v>
      </c>
      <c r="AQ145" s="98">
        <f t="shared" si="95"/>
        <v>-2.7743561506128072</v>
      </c>
      <c r="AR145" s="169">
        <f t="shared" si="96"/>
        <v>104.28838400462814</v>
      </c>
      <c r="AS145" s="168" t="e">
        <f t="shared" si="97"/>
        <v>#DIV/0!</v>
      </c>
      <c r="AT145" s="190" t="e">
        <f t="shared" si="98"/>
        <v>#DIV/0!</v>
      </c>
      <c r="AU145" s="169" t="e">
        <f t="shared" si="99"/>
        <v>#DIV/0!</v>
      </c>
      <c r="AV145" s="225"/>
      <c r="AX145" t="e">
        <f t="shared" si="100"/>
        <v>#DIV/0!</v>
      </c>
      <c r="AY145" t="e">
        <f t="shared" si="101"/>
        <v>#DIV/0!</v>
      </c>
    </row>
    <row r="146" spans="14:51" x14ac:dyDescent="0.25">
      <c r="N146" s="170">
        <v>28</v>
      </c>
      <c r="O146" s="199">
        <f t="shared" si="102"/>
        <v>190.54607179632498</v>
      </c>
      <c r="P146" s="189" t="str">
        <f t="shared" si="67"/>
        <v>290</v>
      </c>
      <c r="Q146" s="160" t="e">
        <f t="shared" si="68"/>
        <v>#DIV/0!</v>
      </c>
      <c r="R146" s="160" t="e">
        <f t="shared" si="77"/>
        <v>#DIV/0!</v>
      </c>
      <c r="S146" s="160" t="e">
        <f t="shared" si="78"/>
        <v>#DIV/0!</v>
      </c>
      <c r="T146" s="160" t="e">
        <f t="shared" si="69"/>
        <v>#DIV/0!</v>
      </c>
      <c r="U146" s="160" t="e">
        <f t="shared" si="79"/>
        <v>#DIV/0!</v>
      </c>
      <c r="V146" s="160" t="e">
        <f t="shared" si="80"/>
        <v>#DIV/0!</v>
      </c>
      <c r="W146" s="98" t="str">
        <f t="shared" si="70"/>
        <v>1-0.00954047659550385i</v>
      </c>
      <c r="X146" s="160">
        <f t="shared" si="81"/>
        <v>1.0000455093112859</v>
      </c>
      <c r="Y146" s="160">
        <f t="shared" si="82"/>
        <v>-9.5401871510450605E-3</v>
      </c>
      <c r="Z146" s="98" t="str">
        <f t="shared" si="71"/>
        <v>0.99999924983873+0.00113290800749079i</v>
      </c>
      <c r="AA146" s="160">
        <f t="shared" si="83"/>
        <v>0.99999989157928226</v>
      </c>
      <c r="AB146" s="160">
        <f t="shared" si="84"/>
        <v>1.1329083726659543E-3</v>
      </c>
      <c r="AC146" s="171" t="e">
        <f t="shared" si="85"/>
        <v>#DIV/0!</v>
      </c>
      <c r="AD146" s="190" t="e">
        <f t="shared" si="86"/>
        <v>#DIV/0!</v>
      </c>
      <c r="AE146" s="169" t="e">
        <f t="shared" si="87"/>
        <v>#DIV/0!</v>
      </c>
      <c r="AF146" s="98" t="str">
        <f t="shared" si="72"/>
        <v>-0.0000182926829268293</v>
      </c>
      <c r="AG146" s="98" t="str">
        <f t="shared" si="73"/>
        <v>0.0000266025901116353i</v>
      </c>
      <c r="AH146" s="98">
        <f t="shared" si="88"/>
        <v>2.6602590111635301E-5</v>
      </c>
      <c r="AI146" s="98">
        <f t="shared" si="89"/>
        <v>1.5707963267948966</v>
      </c>
      <c r="AJ146" s="98" t="str">
        <f t="shared" si="74"/>
        <v>1+0.00260784139904278i</v>
      </c>
      <c r="AK146" s="98">
        <f t="shared" si="90"/>
        <v>1.0000034004125999</v>
      </c>
      <c r="AL146" s="98">
        <f t="shared" si="91"/>
        <v>2.6078354872323506E-3</v>
      </c>
      <c r="AM146" s="98" t="str">
        <f t="shared" si="75"/>
        <v>1+0.263391981303321i</v>
      </c>
      <c r="AN146" s="98">
        <f t="shared" si="92"/>
        <v>1.0341060563669904</v>
      </c>
      <c r="AO146" s="98">
        <f t="shared" si="93"/>
        <v>0.25754262787501303</v>
      </c>
      <c r="AP146" s="168" t="str">
        <f t="shared" si="94"/>
        <v>-0.179321228527839+0.688095532068923i</v>
      </c>
      <c r="AQ146" s="98">
        <f t="shared" si="95"/>
        <v>-2.9616582287156406</v>
      </c>
      <c r="AR146" s="169">
        <f t="shared" si="96"/>
        <v>104.60668765486365</v>
      </c>
      <c r="AS146" s="168" t="e">
        <f t="shared" si="97"/>
        <v>#DIV/0!</v>
      </c>
      <c r="AT146" s="190" t="e">
        <f t="shared" si="98"/>
        <v>#DIV/0!</v>
      </c>
      <c r="AU146" s="169" t="e">
        <f t="shared" si="99"/>
        <v>#DIV/0!</v>
      </c>
      <c r="AV146" s="225"/>
      <c r="AX146" t="e">
        <f t="shared" si="100"/>
        <v>#DIV/0!</v>
      </c>
      <c r="AY146" t="e">
        <f t="shared" si="101"/>
        <v>#DIV/0!</v>
      </c>
    </row>
    <row r="147" spans="14:51" x14ac:dyDescent="0.25">
      <c r="N147" s="170">
        <v>29</v>
      </c>
      <c r="O147" s="199">
        <f t="shared" si="102"/>
        <v>194.98445997580458</v>
      </c>
      <c r="P147" s="189" t="str">
        <f t="shared" ref="P147:P210" si="103">COMPLEX(Adc,0)</f>
        <v>290</v>
      </c>
      <c r="Q147" s="160" t="e">
        <f t="shared" ref="Q147:Q210" si="104">IMSUM(COMPLEX(1,0),IMDIV(COMPLEX(0,2*PI()*O147),COMPLEX(wp_lf,0)))</f>
        <v>#DIV/0!</v>
      </c>
      <c r="R147" s="160" t="e">
        <f t="shared" si="77"/>
        <v>#DIV/0!</v>
      </c>
      <c r="S147" s="160" t="e">
        <f t="shared" si="78"/>
        <v>#DIV/0!</v>
      </c>
      <c r="T147" s="160" t="e">
        <f t="shared" ref="T147:T210" si="105">IMSUM(COMPLEX(1,0),IMDIV(COMPLEX(0,2*PI()*O147),COMPLEX(wz_esr,0)))</f>
        <v>#DIV/0!</v>
      </c>
      <c r="U147" s="160" t="e">
        <f t="shared" si="79"/>
        <v>#DIV/0!</v>
      </c>
      <c r="V147" s="160" t="e">
        <f t="shared" si="80"/>
        <v>#DIV/0!</v>
      </c>
      <c r="W147" s="98" t="str">
        <f t="shared" ref="W147:W210" si="106">IMSUB(COMPLEX(1,0),IMDIV(COMPLEX(0,2*PI()*O147),COMPLEX(wz_rhp,0)))</f>
        <v>1-0.00976270284319758i</v>
      </c>
      <c r="X147" s="160">
        <f t="shared" si="81"/>
        <v>1.0000476540479482</v>
      </c>
      <c r="Y147" s="160">
        <f t="shared" si="82"/>
        <v>-9.7623926986703836E-3</v>
      </c>
      <c r="Z147" s="98" t="str">
        <f t="shared" ref="Z147:Z210" si="107">IF(Dc_Mode_Loop="CCM",IMSUM(COMPLEX(1,0),IMDIV(COMPLEX(0,2*PI()*O147),COMPLEX(Q*(wsl/2),0)),IMDIV(IMPOWER(COMPLEX(0,2*PI()*O147),2),IMPOWER(COMPLEX(wsl/2,0),2))),COMPLEX(1,0))</f>
        <v>0.999999214484718+0.00115929682496407i</v>
      </c>
      <c r="AA147" s="160">
        <f t="shared" si="83"/>
        <v>0.99999988646958438</v>
      </c>
      <c r="AB147" s="160">
        <f t="shared" si="84"/>
        <v>1.1592972162563049E-3</v>
      </c>
      <c r="AC147" s="171" t="e">
        <f t="shared" si="85"/>
        <v>#DIV/0!</v>
      </c>
      <c r="AD147" s="190" t="e">
        <f t="shared" si="86"/>
        <v>#DIV/0!</v>
      </c>
      <c r="AE147" s="169" t="e">
        <f t="shared" si="87"/>
        <v>#DIV/0!</v>
      </c>
      <c r="AF147" s="98" t="str">
        <f t="shared" ref="AF147:AF210" si="108">COMPLEX(Adc_ea,0)</f>
        <v>-0.0000182926829268293</v>
      </c>
      <c r="AG147" s="98" t="str">
        <f t="shared" ref="AG147:AG210" si="109">COMPLEX(0,2*PI()*O147*wp0_ea)</f>
        <v>0.0000272222440377537i</v>
      </c>
      <c r="AH147" s="98">
        <f t="shared" si="88"/>
        <v>2.72222440377537E-5</v>
      </c>
      <c r="AI147" s="98">
        <f t="shared" si="89"/>
        <v>1.5707963267948966</v>
      </c>
      <c r="AJ147" s="98" t="str">
        <f t="shared" ref="AJ147:AJ210" si="110">IMSUM(COMPLEX(1,0),IMDIV(COMPLEX(0,2*PI()*O147),COMPLEX(wp1_ea,0)))</f>
        <v>1+0.0026685858286201i</v>
      </c>
      <c r="AK147" s="98">
        <f t="shared" si="90"/>
        <v>1.0000035606688231</v>
      </c>
      <c r="AL147" s="98">
        <f t="shared" si="91"/>
        <v>2.6685794940023142E-3</v>
      </c>
      <c r="AM147" s="98" t="str">
        <f t="shared" ref="AM147:AM210" si="111">IMSUM(COMPLEX(1,0),IMDIV(COMPLEX(0,2*PI()*O147),COMPLEX(wz_ea,0)))</f>
        <v>1+0.26952716869063i</v>
      </c>
      <c r="AN147" s="98">
        <f t="shared" si="92"/>
        <v>1.0356857123000138</v>
      </c>
      <c r="AO147" s="98">
        <f t="shared" si="93"/>
        <v>0.26327107805656447</v>
      </c>
      <c r="AP147" s="168" t="str">
        <f t="shared" si="94"/>
        <v>-0.179321171053362+0.672454102939624i</v>
      </c>
      <c r="AQ147" s="98">
        <f t="shared" si="95"/>
        <v>-3.1484015529135778</v>
      </c>
      <c r="AR147" s="169">
        <f t="shared" si="96"/>
        <v>104.93142329819894</v>
      </c>
      <c r="AS147" s="168" t="e">
        <f t="shared" si="97"/>
        <v>#DIV/0!</v>
      </c>
      <c r="AT147" s="190" t="e">
        <f t="shared" si="98"/>
        <v>#DIV/0!</v>
      </c>
      <c r="AU147" s="169" t="e">
        <f t="shared" si="99"/>
        <v>#DIV/0!</v>
      </c>
      <c r="AV147" s="225"/>
      <c r="AX147" t="e">
        <f t="shared" si="100"/>
        <v>#DIV/0!</v>
      </c>
      <c r="AY147" t="e">
        <f t="shared" si="101"/>
        <v>#DIV/0!</v>
      </c>
    </row>
    <row r="148" spans="14:51" x14ac:dyDescent="0.25">
      <c r="N148" s="170">
        <v>30</v>
      </c>
      <c r="O148" s="199">
        <f t="shared" si="102"/>
        <v>199.52623149688802</v>
      </c>
      <c r="P148" s="189" t="str">
        <f t="shared" si="103"/>
        <v>290</v>
      </c>
      <c r="Q148" s="160" t="e">
        <f t="shared" si="104"/>
        <v>#DIV/0!</v>
      </c>
      <c r="R148" s="160" t="e">
        <f t="shared" ref="R148:R211" si="112">IMABS(Q148)</f>
        <v>#DIV/0!</v>
      </c>
      <c r="S148" s="160" t="e">
        <f t="shared" ref="S148:S211" si="113">IMARGUMENT(Q148)</f>
        <v>#DIV/0!</v>
      </c>
      <c r="T148" s="160" t="e">
        <f t="shared" si="105"/>
        <v>#DIV/0!</v>
      </c>
      <c r="U148" s="160" t="e">
        <f t="shared" ref="U148:U211" si="114">IMABS(T148)</f>
        <v>#DIV/0!</v>
      </c>
      <c r="V148" s="160" t="e">
        <f t="shared" ref="V148:V211" si="115">IMARGUMENT(T148)</f>
        <v>#DIV/0!</v>
      </c>
      <c r="W148" s="98" t="str">
        <f t="shared" si="106"/>
        <v>1-0.00999010540516349i</v>
      </c>
      <c r="X148" s="160">
        <f t="shared" ref="X148:X211" si="116">IMABS(W148)</f>
        <v>1.0000498998580052</v>
      </c>
      <c r="Y148" s="160">
        <f t="shared" ref="Y148:Y211" si="117">IMARGUMENT(W148)</f>
        <v>-9.9897730802107638E-3</v>
      </c>
      <c r="Z148" s="98" t="str">
        <f t="shared" si="107"/>
        <v>0.999999177464524+0.00118630031695906i</v>
      </c>
      <c r="AA148" s="160">
        <f t="shared" ref="AA148:AA211" si="118">IMABS(Z148)</f>
        <v>0.99999988111907634</v>
      </c>
      <c r="AB148" s="160">
        <f t="shared" ref="AB148:AB211" si="119">IMARGUMENT(Z148)</f>
        <v>1.1863007362362381E-3</v>
      </c>
      <c r="AC148" s="171" t="e">
        <f t="shared" ref="AC148:AC211" si="120">(IMDIV(IMPRODUCT(P148,T148,W148),IMPRODUCT(Q148,Z148)))</f>
        <v>#DIV/0!</v>
      </c>
      <c r="AD148" s="190" t="e">
        <f t="shared" ref="AD148:AD211" si="121">20*LOG(IMABS(AC148))</f>
        <v>#DIV/0!</v>
      </c>
      <c r="AE148" s="169" t="e">
        <f t="shared" ref="AE148:AE211" si="122">(180/PI())*IMARGUMENT(AC148)</f>
        <v>#DIV/0!</v>
      </c>
      <c r="AF148" s="98" t="str">
        <f t="shared" si="108"/>
        <v>-0.0000182926829268293</v>
      </c>
      <c r="AG148" s="98" t="str">
        <f t="shared" si="109"/>
        <v>0.0000278563315579899i</v>
      </c>
      <c r="AH148" s="98">
        <f t="shared" ref="AH148:AH211" si="123">IMABS(AG148)</f>
        <v>2.7856331557989901E-5</v>
      </c>
      <c r="AI148" s="98">
        <f t="shared" ref="AI148:AI211" si="124">IMARGUMENT(AG148)</f>
        <v>1.5707963267948966</v>
      </c>
      <c r="AJ148" s="98" t="str">
        <f t="shared" si="110"/>
        <v>1+0.00273074517772669i</v>
      </c>
      <c r="AK148" s="98">
        <f t="shared" ref="AK148:AK211" si="125">IMABS(AJ148)</f>
        <v>1.0000037284776622</v>
      </c>
      <c r="AL148" s="98">
        <f t="shared" ref="AL148:AL211" si="126">IMARGUMENT(AJ148)</f>
        <v>2.7307383900628079E-3</v>
      </c>
      <c r="AM148" s="98" t="str">
        <f t="shared" si="111"/>
        <v>1+0.275805262950395i</v>
      </c>
      <c r="AN148" s="98">
        <f t="shared" ref="AN148:AN211" si="127">IMABS(AM148)</f>
        <v>1.0373372369056924</v>
      </c>
      <c r="AO148" s="98">
        <f t="shared" ref="AO148:AO211" si="128">IMARGUMENT(AM148)</f>
        <v>0.26911470322284209</v>
      </c>
      <c r="AP148" s="168" t="str">
        <f t="shared" ref="AP148:AP211" si="129">IMPRODUCT(AF148,IMDIV(AM148,IMPRODUCT(AG148,AJ148)))</f>
        <v>-0.179321110870237+0.657169217862228i</v>
      </c>
      <c r="AQ148" s="98">
        <f t="shared" ref="AQ148:AQ211" si="130">20*LOG(IMABS(AP148))</f>
        <v>-3.3345633532753984</v>
      </c>
      <c r="AR148" s="169">
        <f t="shared" ref="AR148:AR211" si="131">(180/PI())*IMARGUMENT(AP148)</f>
        <v>105.26267691487959</v>
      </c>
      <c r="AS148" s="168" t="e">
        <f t="shared" ref="AS148:AS211" si="132">IMPRODUCT(AC148,AP148)</f>
        <v>#DIV/0!</v>
      </c>
      <c r="AT148" s="190" t="e">
        <f t="shared" ref="AT148:AT211" si="133">20*LOG(IMABS(AS148))</f>
        <v>#DIV/0!</v>
      </c>
      <c r="AU148" s="169" t="e">
        <f t="shared" ref="AU148:AU211" si="134">(180/PI())*IMARGUMENT(AS148)</f>
        <v>#DIV/0!</v>
      </c>
      <c r="AV148" s="225"/>
      <c r="AX148" t="e">
        <f t="shared" ref="AX148:AX211" si="135">SUM((AT149&lt;0)*(AT148&gt;0))*O148</f>
        <v>#DIV/0!</v>
      </c>
      <c r="AY148" t="e">
        <f t="shared" ref="AY148:AY211" si="136">IF(AX148&gt;0,AU148,0)</f>
        <v>#DIV/0!</v>
      </c>
    </row>
    <row r="149" spans="14:51" x14ac:dyDescent="0.25">
      <c r="N149" s="170">
        <v>31</v>
      </c>
      <c r="O149" s="199">
        <f t="shared" si="102"/>
        <v>204.17379446695315</v>
      </c>
      <c r="P149" s="189" t="str">
        <f t="shared" si="103"/>
        <v>290</v>
      </c>
      <c r="Q149" s="160" t="e">
        <f t="shared" si="104"/>
        <v>#DIV/0!</v>
      </c>
      <c r="R149" s="160" t="e">
        <f t="shared" si="112"/>
        <v>#DIV/0!</v>
      </c>
      <c r="S149" s="160" t="e">
        <f t="shared" si="113"/>
        <v>#DIV/0!</v>
      </c>
      <c r="T149" s="160" t="e">
        <f t="shared" si="105"/>
        <v>#DIV/0!</v>
      </c>
      <c r="U149" s="160" t="e">
        <f t="shared" si="114"/>
        <v>#DIV/0!</v>
      </c>
      <c r="V149" s="160" t="e">
        <f t="shared" si="115"/>
        <v>#DIV/0!</v>
      </c>
      <c r="W149" s="98" t="str">
        <f t="shared" si="106"/>
        <v>1-0.0102228048532499i</v>
      </c>
      <c r="X149" s="160">
        <f t="shared" si="116"/>
        <v>1.0000522515044239</v>
      </c>
      <c r="Y149" s="160">
        <f t="shared" si="117"/>
        <v>-1.0222448761652292E-2</v>
      </c>
      <c r="Z149" s="98" t="str">
        <f t="shared" si="107"/>
        <v>0.999999138699621+0.00121393280108464i</v>
      </c>
      <c r="AA149" s="160">
        <f t="shared" si="118"/>
        <v>0.99999987551640679</v>
      </c>
      <c r="AB149" s="160">
        <f t="shared" si="119"/>
        <v>1.213933250348226E-3</v>
      </c>
      <c r="AC149" s="171" t="e">
        <f t="shared" si="120"/>
        <v>#DIV/0!</v>
      </c>
      <c r="AD149" s="190" t="e">
        <f t="shared" si="121"/>
        <v>#DIV/0!</v>
      </c>
      <c r="AE149" s="169" t="e">
        <f t="shared" si="122"/>
        <v>#DIV/0!</v>
      </c>
      <c r="AF149" s="98" t="str">
        <f t="shared" si="108"/>
        <v>-0.0000182926829268293</v>
      </c>
      <c r="AG149" s="98" t="str">
        <f t="shared" si="109"/>
        <v>0.0000285051888739403i</v>
      </c>
      <c r="AH149" s="98">
        <f t="shared" si="123"/>
        <v>2.8505188873940301E-5</v>
      </c>
      <c r="AI149" s="98">
        <f t="shared" si="124"/>
        <v>1.5707963267948966</v>
      </c>
      <c r="AJ149" s="98" t="str">
        <f t="shared" si="110"/>
        <v>1+0.00279435240407217i</v>
      </c>
      <c r="AK149" s="98">
        <f t="shared" si="125"/>
        <v>1.0000039041950577</v>
      </c>
      <c r="AL149" s="98">
        <f t="shared" si="126"/>
        <v>2.794345130960817E-3</v>
      </c>
      <c r="AM149" s="98" t="str">
        <f t="shared" si="111"/>
        <v>1+0.282229592811289i</v>
      </c>
      <c r="AN149" s="98">
        <f t="shared" si="127"/>
        <v>1.0390637819972488</v>
      </c>
      <c r="AO149" s="98">
        <f t="shared" si="128"/>
        <v>0.27507500471410173</v>
      </c>
      <c r="AP149" s="168" t="str">
        <f t="shared" si="129"/>
        <v>-0.17932104785081+0.642232772587307i</v>
      </c>
      <c r="AQ149" s="98">
        <f t="shared" si="130"/>
        <v>-3.5201200941166317</v>
      </c>
      <c r="AR149" s="169">
        <f t="shared" si="131"/>
        <v>105.60053263715227</v>
      </c>
      <c r="AS149" s="168" t="e">
        <f t="shared" si="132"/>
        <v>#DIV/0!</v>
      </c>
      <c r="AT149" s="190" t="e">
        <f t="shared" si="133"/>
        <v>#DIV/0!</v>
      </c>
      <c r="AU149" s="169" t="e">
        <f t="shared" si="134"/>
        <v>#DIV/0!</v>
      </c>
      <c r="AV149" s="225"/>
      <c r="AX149" t="e">
        <f t="shared" si="135"/>
        <v>#DIV/0!</v>
      </c>
      <c r="AY149" t="e">
        <f t="shared" si="136"/>
        <v>#DIV/0!</v>
      </c>
    </row>
    <row r="150" spans="14:51" x14ac:dyDescent="0.25">
      <c r="N150" s="170">
        <v>32</v>
      </c>
      <c r="O150" s="199">
        <f t="shared" si="102"/>
        <v>208.92961308540396</v>
      </c>
      <c r="P150" s="189" t="str">
        <f t="shared" si="103"/>
        <v>290</v>
      </c>
      <c r="Q150" s="160" t="e">
        <f t="shared" si="104"/>
        <v>#DIV/0!</v>
      </c>
      <c r="R150" s="160" t="e">
        <f t="shared" si="112"/>
        <v>#DIV/0!</v>
      </c>
      <c r="S150" s="160" t="e">
        <f t="shared" si="113"/>
        <v>#DIV/0!</v>
      </c>
      <c r="T150" s="160" t="e">
        <f t="shared" si="105"/>
        <v>#DIV/0!</v>
      </c>
      <c r="U150" s="160" t="e">
        <f t="shared" si="114"/>
        <v>#DIV/0!</v>
      </c>
      <c r="V150" s="160" t="e">
        <f t="shared" si="115"/>
        <v>#DIV/0!</v>
      </c>
      <c r="W150" s="98" t="str">
        <f t="shared" si="106"/>
        <v>1-0.0104609245677843i</v>
      </c>
      <c r="X150" s="160">
        <f t="shared" si="116"/>
        <v>1.000054713974597</v>
      </c>
      <c r="Y150" s="160">
        <f t="shared" si="117"/>
        <v>-1.0460543009890482E-2</v>
      </c>
      <c r="Z150" s="98" t="str">
        <f t="shared" si="107"/>
        <v>0.999999098107785+0.00124220892844967i</v>
      </c>
      <c r="AA150" s="160">
        <f t="shared" si="118"/>
        <v>0.99999986964969423</v>
      </c>
      <c r="AB150" s="160">
        <f t="shared" si="119"/>
        <v>1.2422094098442696E-3</v>
      </c>
      <c r="AC150" s="171" t="e">
        <f t="shared" si="120"/>
        <v>#DIV/0!</v>
      </c>
      <c r="AD150" s="190" t="e">
        <f t="shared" si="121"/>
        <v>#DIV/0!</v>
      </c>
      <c r="AE150" s="169" t="e">
        <f t="shared" si="122"/>
        <v>#DIV/0!</v>
      </c>
      <c r="AF150" s="98" t="str">
        <f t="shared" si="108"/>
        <v>-0.0000182926829268293</v>
      </c>
      <c r="AG150" s="98" t="str">
        <f t="shared" si="109"/>
        <v>0.0000291691600183424i</v>
      </c>
      <c r="AH150" s="98">
        <f t="shared" si="123"/>
        <v>2.9169160018342399E-5</v>
      </c>
      <c r="AI150" s="98">
        <f t="shared" si="124"/>
        <v>1.5707963267948966</v>
      </c>
      <c r="AJ150" s="98" t="str">
        <f t="shared" si="110"/>
        <v>1+0.00285944123304995i</v>
      </c>
      <c r="AK150" s="98">
        <f t="shared" si="125"/>
        <v>1.000004088193726</v>
      </c>
      <c r="AL150" s="98">
        <f t="shared" si="126"/>
        <v>2.8594334397724465E-3</v>
      </c>
      <c r="AM150" s="98" t="str">
        <f t="shared" si="111"/>
        <v>1+0.288803564538044i</v>
      </c>
      <c r="AN150" s="98">
        <f t="shared" si="127"/>
        <v>1.0408686271042471</v>
      </c>
      <c r="AO150" s="98">
        <f t="shared" si="128"/>
        <v>0.28115344816210686</v>
      </c>
      <c r="AP150" s="168" t="str">
        <f t="shared" si="129"/>
        <v>-0.179320981861419+0.627636847612768i</v>
      </c>
      <c r="AQ150" s="98">
        <f t="shared" si="130"/>
        <v>-3.705047462698245</v>
      </c>
      <c r="AR150" s="169">
        <f t="shared" si="131"/>
        <v>105.94507250734137</v>
      </c>
      <c r="AS150" s="168" t="e">
        <f t="shared" si="132"/>
        <v>#DIV/0!</v>
      </c>
      <c r="AT150" s="190" t="e">
        <f t="shared" si="133"/>
        <v>#DIV/0!</v>
      </c>
      <c r="AU150" s="169" t="e">
        <f t="shared" si="134"/>
        <v>#DIV/0!</v>
      </c>
      <c r="AV150" s="225"/>
      <c r="AX150" t="e">
        <f t="shared" si="135"/>
        <v>#DIV/0!</v>
      </c>
      <c r="AY150" t="e">
        <f t="shared" si="136"/>
        <v>#DIV/0!</v>
      </c>
    </row>
    <row r="151" spans="14:51" x14ac:dyDescent="0.25">
      <c r="N151" s="170">
        <v>33</v>
      </c>
      <c r="O151" s="199">
        <f t="shared" si="102"/>
        <v>213.79620895022339</v>
      </c>
      <c r="P151" s="189" t="str">
        <f t="shared" si="103"/>
        <v>290</v>
      </c>
      <c r="Q151" s="160" t="e">
        <f t="shared" si="104"/>
        <v>#DIV/0!</v>
      </c>
      <c r="R151" s="160" t="e">
        <f t="shared" si="112"/>
        <v>#DIV/0!</v>
      </c>
      <c r="S151" s="160" t="e">
        <f t="shared" si="113"/>
        <v>#DIV/0!</v>
      </c>
      <c r="T151" s="160" t="e">
        <f t="shared" si="105"/>
        <v>#DIV/0!</v>
      </c>
      <c r="U151" s="160" t="e">
        <f t="shared" si="114"/>
        <v>#DIV/0!</v>
      </c>
      <c r="V151" s="160" t="e">
        <f t="shared" si="115"/>
        <v>#DIV/0!</v>
      </c>
      <c r="W151" s="98" t="str">
        <f t="shared" si="106"/>
        <v>1-0.0107045908029912i</v>
      </c>
      <c r="X151" s="160">
        <f t="shared" si="116"/>
        <v>1.000057292490915</v>
      </c>
      <c r="Y151" s="160">
        <f t="shared" si="117"/>
        <v>-1.0704181957606921E-2</v>
      </c>
      <c r="Z151" s="98" t="str">
        <f t="shared" si="107"/>
        <v>0.999999055602914+0.00127114369143113i</v>
      </c>
      <c r="AA151" s="160">
        <f t="shared" si="118"/>
        <v>0.99999986350649273</v>
      </c>
      <c r="AB151" s="160">
        <f t="shared" si="119"/>
        <v>1.2711442072547308E-3</v>
      </c>
      <c r="AC151" s="171" t="e">
        <f t="shared" si="120"/>
        <v>#DIV/0!</v>
      </c>
      <c r="AD151" s="190" t="e">
        <f t="shared" si="121"/>
        <v>#DIV/0!</v>
      </c>
      <c r="AE151" s="169" t="e">
        <f t="shared" si="122"/>
        <v>#DIV/0!</v>
      </c>
      <c r="AF151" s="98" t="str">
        <f t="shared" si="108"/>
        <v>-0.0000182926829268293</v>
      </c>
      <c r="AG151" s="98" t="str">
        <f t="shared" si="109"/>
        <v>0.0000298485970374858i</v>
      </c>
      <c r="AH151" s="98">
        <f t="shared" si="123"/>
        <v>2.9848597037485801E-5</v>
      </c>
      <c r="AI151" s="98">
        <f t="shared" si="124"/>
        <v>1.5707963267948966</v>
      </c>
      <c r="AJ151" s="98" t="str">
        <f t="shared" si="110"/>
        <v>1+0.00292604617561864i</v>
      </c>
      <c r="AK151" s="98">
        <f t="shared" si="125"/>
        <v>1.000004280863948</v>
      </c>
      <c r="AL151" s="98">
        <f t="shared" si="126"/>
        <v>2.9260378249732748E-3</v>
      </c>
      <c r="AM151" s="98" t="str">
        <f t="shared" si="111"/>
        <v>1+0.295530663737483i</v>
      </c>
      <c r="AN151" s="98">
        <f t="shared" si="127"/>
        <v>1.0427551837363924</v>
      </c>
      <c r="AO151" s="98">
        <f t="shared" si="128"/>
        <v>0.28735145907290766</v>
      </c>
      <c r="AP151" s="168" t="str">
        <f t="shared" si="129"/>
        <v>-0.179320912762094+0.613373703984797i</v>
      </c>
      <c r="AQ151" s="98">
        <f t="shared" si="130"/>
        <v>-3.889320359161053</v>
      </c>
      <c r="AR151" s="169">
        <f t="shared" si="131"/>
        <v>106.29637622373717</v>
      </c>
      <c r="AS151" s="168" t="e">
        <f t="shared" si="132"/>
        <v>#DIV/0!</v>
      </c>
      <c r="AT151" s="190" t="e">
        <f t="shared" si="133"/>
        <v>#DIV/0!</v>
      </c>
      <c r="AU151" s="169" t="e">
        <f t="shared" si="134"/>
        <v>#DIV/0!</v>
      </c>
      <c r="AV151" s="225"/>
      <c r="AX151" t="e">
        <f t="shared" si="135"/>
        <v>#DIV/0!</v>
      </c>
      <c r="AY151" t="e">
        <f t="shared" si="136"/>
        <v>#DIV/0!</v>
      </c>
    </row>
    <row r="152" spans="14:51" x14ac:dyDescent="0.25">
      <c r="N152" s="170">
        <v>34</v>
      </c>
      <c r="O152" s="199">
        <f t="shared" si="102"/>
        <v>218.77616239495524</v>
      </c>
      <c r="P152" s="189" t="str">
        <f t="shared" si="103"/>
        <v>290</v>
      </c>
      <c r="Q152" s="160" t="e">
        <f t="shared" si="104"/>
        <v>#DIV/0!</v>
      </c>
      <c r="R152" s="160" t="e">
        <f t="shared" si="112"/>
        <v>#DIV/0!</v>
      </c>
      <c r="S152" s="160" t="e">
        <f t="shared" si="113"/>
        <v>#DIV/0!</v>
      </c>
      <c r="T152" s="160" t="e">
        <f t="shared" si="105"/>
        <v>#DIV/0!</v>
      </c>
      <c r="U152" s="160" t="e">
        <f t="shared" si="114"/>
        <v>#DIV/0!</v>
      </c>
      <c r="V152" s="160" t="e">
        <f t="shared" si="115"/>
        <v>#DIV/0!</v>
      </c>
      <c r="W152" s="98" t="str">
        <f t="shared" si="106"/>
        <v>1-0.010953932753934i</v>
      </c>
      <c r="X152" s="160">
        <f t="shared" si="116"/>
        <v>1.0000599925218374</v>
      </c>
      <c r="Y152" s="160">
        <f t="shared" si="117"/>
        <v>-1.0953494669631244E-2</v>
      </c>
      <c r="Z152" s="98" t="str">
        <f t="shared" si="107"/>
        <v>0.999999011094851+0.00130075243162336i</v>
      </c>
      <c r="AA152" s="160">
        <f t="shared" si="118"/>
        <v>0.99999985707377403</v>
      </c>
      <c r="AB152" s="160">
        <f t="shared" si="119"/>
        <v>1.3007529843382987E-3</v>
      </c>
      <c r="AC152" s="171" t="e">
        <f t="shared" si="120"/>
        <v>#DIV/0!</v>
      </c>
      <c r="AD152" s="190" t="e">
        <f t="shared" si="121"/>
        <v>#DIV/0!</v>
      </c>
      <c r="AE152" s="169" t="e">
        <f t="shared" si="122"/>
        <v>#DIV/0!</v>
      </c>
      <c r="AF152" s="98" t="str">
        <f t="shared" si="108"/>
        <v>-0.0000182926829268293</v>
      </c>
      <c r="AG152" s="98" t="str">
        <f t="shared" si="109"/>
        <v>0.0000305438601778712i</v>
      </c>
      <c r="AH152" s="98">
        <f t="shared" si="123"/>
        <v>3.0543860177871201E-5</v>
      </c>
      <c r="AI152" s="98">
        <f t="shared" si="124"/>
        <v>1.5707963267948966</v>
      </c>
      <c r="AJ152" s="98" t="str">
        <f t="shared" si="110"/>
        <v>1+0.00299420254660046i</v>
      </c>
      <c r="AK152" s="98">
        <f t="shared" si="125"/>
        <v>1.0000044826143981</v>
      </c>
      <c r="AL152" s="98">
        <f t="shared" si="126"/>
        <v>2.9941935987249061E-3</v>
      </c>
      <c r="AM152" s="98" t="str">
        <f t="shared" si="111"/>
        <v>1+0.302414457206646i</v>
      </c>
      <c r="AN152" s="98">
        <f t="shared" si="127"/>
        <v>1.0447269997121689</v>
      </c>
      <c r="AO152" s="98">
        <f t="shared" si="128"/>
        <v>0.29367041819622014</v>
      </c>
      <c r="AP152" s="168" t="str">
        <f t="shared" si="129"/>
        <v>-0.179320840406277+0.599435779194581i</v>
      </c>
      <c r="AQ152" s="98">
        <f t="shared" si="130"/>
        <v>-4.0729128878478864</v>
      </c>
      <c r="AR152" s="169">
        <f t="shared" si="131"/>
        <v>106.65452087423328</v>
      </c>
      <c r="AS152" s="168" t="e">
        <f t="shared" si="132"/>
        <v>#DIV/0!</v>
      </c>
      <c r="AT152" s="190" t="e">
        <f t="shared" si="133"/>
        <v>#DIV/0!</v>
      </c>
      <c r="AU152" s="169" t="e">
        <f t="shared" si="134"/>
        <v>#DIV/0!</v>
      </c>
      <c r="AV152" s="225"/>
      <c r="AX152" t="e">
        <f t="shared" si="135"/>
        <v>#DIV/0!</v>
      </c>
      <c r="AY152" t="e">
        <f t="shared" si="136"/>
        <v>#DIV/0!</v>
      </c>
    </row>
    <row r="153" spans="14:51" x14ac:dyDescent="0.25">
      <c r="N153" s="170">
        <v>35</v>
      </c>
      <c r="O153" s="199">
        <f t="shared" si="102"/>
        <v>223.87211385683412</v>
      </c>
      <c r="P153" s="189" t="str">
        <f t="shared" si="103"/>
        <v>290</v>
      </c>
      <c r="Q153" s="160" t="e">
        <f t="shared" si="104"/>
        <v>#DIV/0!</v>
      </c>
      <c r="R153" s="160" t="e">
        <f t="shared" si="112"/>
        <v>#DIV/0!</v>
      </c>
      <c r="S153" s="160" t="e">
        <f t="shared" si="113"/>
        <v>#DIV/0!</v>
      </c>
      <c r="T153" s="160" t="e">
        <f t="shared" si="105"/>
        <v>#DIV/0!</v>
      </c>
      <c r="U153" s="160" t="e">
        <f t="shared" si="114"/>
        <v>#DIV/0!</v>
      </c>
      <c r="V153" s="160" t="e">
        <f t="shared" si="115"/>
        <v>#DIV/0!</v>
      </c>
      <c r="W153" s="98" t="str">
        <f t="shared" si="106"/>
        <v>1-0.0112090826250153i</v>
      </c>
      <c r="X153" s="160">
        <f t="shared" si="116"/>
        <v>1.000062819793484</v>
      </c>
      <c r="Y153" s="160">
        <f t="shared" si="117"/>
        <v>-1.1208613210820109E-2</v>
      </c>
      <c r="Z153" s="98" t="str">
        <f t="shared" si="107"/>
        <v>0.999998964489187+0.00133105084797234i</v>
      </c>
      <c r="AA153" s="160">
        <f t="shared" si="118"/>
        <v>0.99999985033789185</v>
      </c>
      <c r="AB153" s="160">
        <f t="shared" si="119"/>
        <v>1.3310514402170594E-3</v>
      </c>
      <c r="AC153" s="171" t="e">
        <f t="shared" si="120"/>
        <v>#DIV/0!</v>
      </c>
      <c r="AD153" s="190" t="e">
        <f t="shared" si="121"/>
        <v>#DIV/0!</v>
      </c>
      <c r="AE153" s="169" t="e">
        <f t="shared" si="122"/>
        <v>#DIV/0!</v>
      </c>
      <c r="AF153" s="98" t="str">
        <f t="shared" si="108"/>
        <v>-0.0000182926829268293</v>
      </c>
      <c r="AG153" s="98" t="str">
        <f t="shared" si="109"/>
        <v>0.0000312553180772189i</v>
      </c>
      <c r="AH153" s="98">
        <f t="shared" si="123"/>
        <v>3.1255318077218899E-5</v>
      </c>
      <c r="AI153" s="98">
        <f t="shared" si="124"/>
        <v>1.5707963267948966</v>
      </c>
      <c r="AJ153" s="98" t="str">
        <f t="shared" si="110"/>
        <v>1+0.00306394648340545i</v>
      </c>
      <c r="AK153" s="98">
        <f t="shared" si="125"/>
        <v>1.0000046938730103</v>
      </c>
      <c r="AL153" s="98">
        <f t="shared" si="126"/>
        <v>3.0639368955864836E-3</v>
      </c>
      <c r="AM153" s="98" t="str">
        <f t="shared" si="111"/>
        <v>1+0.30945859482395i</v>
      </c>
      <c r="AN153" s="98">
        <f t="shared" si="127"/>
        <v>1.0467877635463712</v>
      </c>
      <c r="AO153" s="98">
        <f t="shared" si="128"/>
        <v>0.30011165668135359</v>
      </c>
      <c r="AP153" s="168" t="str">
        <f t="shared" si="129"/>
        <v>-0.179320764640497+0.585815683168532i</v>
      </c>
      <c r="AQ153" s="98">
        <f t="shared" si="130"/>
        <v>-4.2557983501767653</v>
      </c>
      <c r="AR153" s="169">
        <f t="shared" si="131"/>
        <v>107.01958065770923</v>
      </c>
      <c r="AS153" s="168" t="e">
        <f t="shared" si="132"/>
        <v>#DIV/0!</v>
      </c>
      <c r="AT153" s="190" t="e">
        <f t="shared" si="133"/>
        <v>#DIV/0!</v>
      </c>
      <c r="AU153" s="169" t="e">
        <f t="shared" si="134"/>
        <v>#DIV/0!</v>
      </c>
      <c r="AV153" s="225"/>
      <c r="AX153" t="e">
        <f t="shared" si="135"/>
        <v>#DIV/0!</v>
      </c>
      <c r="AY153" t="e">
        <f t="shared" si="136"/>
        <v>#DIV/0!</v>
      </c>
    </row>
    <row r="154" spans="14:51" x14ac:dyDescent="0.25">
      <c r="N154" s="170">
        <v>36</v>
      </c>
      <c r="O154" s="199">
        <f t="shared" si="102"/>
        <v>229.08676527677744</v>
      </c>
      <c r="P154" s="189" t="str">
        <f t="shared" si="103"/>
        <v>290</v>
      </c>
      <c r="Q154" s="160" t="e">
        <f t="shared" si="104"/>
        <v>#DIV/0!</v>
      </c>
      <c r="R154" s="160" t="e">
        <f t="shared" si="112"/>
        <v>#DIV/0!</v>
      </c>
      <c r="S154" s="160" t="e">
        <f t="shared" si="113"/>
        <v>#DIV/0!</v>
      </c>
      <c r="T154" s="160" t="e">
        <f t="shared" si="105"/>
        <v>#DIV/0!</v>
      </c>
      <c r="U154" s="160" t="e">
        <f t="shared" si="114"/>
        <v>#DIV/0!</v>
      </c>
      <c r="V154" s="160" t="e">
        <f t="shared" si="115"/>
        <v>#DIV/0!</v>
      </c>
      <c r="W154" s="98" t="str">
        <f t="shared" si="106"/>
        <v>1-0.0114701757000741i</v>
      </c>
      <c r="X154" s="160">
        <f t="shared" si="116"/>
        <v>1.0000657803017712</v>
      </c>
      <c r="Y154" s="160">
        <f t="shared" si="117"/>
        <v>-1.1469672715488636E-2</v>
      </c>
      <c r="Z154" s="98" t="str">
        <f t="shared" si="107"/>
        <v>0.999998915687066+0.00136205500509945i</v>
      </c>
      <c r="AA154" s="160">
        <f t="shared" si="118"/>
        <v>0.99999984328455993</v>
      </c>
      <c r="AB154" s="160">
        <f t="shared" si="119"/>
        <v>1.362055639701091E-3</v>
      </c>
      <c r="AC154" s="171" t="e">
        <f t="shared" si="120"/>
        <v>#DIV/0!</v>
      </c>
      <c r="AD154" s="190" t="e">
        <f t="shared" si="121"/>
        <v>#DIV/0!</v>
      </c>
      <c r="AE154" s="169" t="e">
        <f t="shared" si="122"/>
        <v>#DIV/0!</v>
      </c>
      <c r="AF154" s="98" t="str">
        <f t="shared" si="108"/>
        <v>-0.0000182926829268293</v>
      </c>
      <c r="AG154" s="98" t="str">
        <f t="shared" si="109"/>
        <v>0.000031983347959924i</v>
      </c>
      <c r="AH154" s="98">
        <f t="shared" si="123"/>
        <v>3.1983347959923999E-5</v>
      </c>
      <c r="AI154" s="98">
        <f t="shared" si="124"/>
        <v>1.5707963267948966</v>
      </c>
      <c r="AJ154" s="98" t="str">
        <f t="shared" si="110"/>
        <v>1+0.00313531496519205i</v>
      </c>
      <c r="AK154" s="98">
        <f t="shared" si="125"/>
        <v>1.0000049150878865</v>
      </c>
      <c r="AL154" s="98">
        <f t="shared" si="126"/>
        <v>3.1353046916616596E-3</v>
      </c>
      <c r="AM154" s="98" t="str">
        <f t="shared" si="111"/>
        <v>1+0.316666811484397i</v>
      </c>
      <c r="AN154" s="98">
        <f t="shared" si="127"/>
        <v>1.0489413088899182</v>
      </c>
      <c r="AO154" s="98">
        <f t="shared" si="128"/>
        <v>0.30667645102092217</v>
      </c>
      <c r="AP154" s="168" t="str">
        <f t="shared" si="129"/>
        <v>-0.179320685304054+0.572506194350006i</v>
      </c>
      <c r="AQ154" s="98">
        <f t="shared" si="130"/>
        <v>-4.4379492392329549</v>
      </c>
      <c r="AR154" s="169">
        <f t="shared" si="131"/>
        <v>107.39162659322953</v>
      </c>
      <c r="AS154" s="168" t="e">
        <f t="shared" si="132"/>
        <v>#DIV/0!</v>
      </c>
      <c r="AT154" s="190" t="e">
        <f t="shared" si="133"/>
        <v>#DIV/0!</v>
      </c>
      <c r="AU154" s="169" t="e">
        <f t="shared" si="134"/>
        <v>#DIV/0!</v>
      </c>
      <c r="AV154" s="225"/>
      <c r="AX154" t="e">
        <f t="shared" si="135"/>
        <v>#DIV/0!</v>
      </c>
      <c r="AY154" t="e">
        <f t="shared" si="136"/>
        <v>#DIV/0!</v>
      </c>
    </row>
    <row r="155" spans="14:51" x14ac:dyDescent="0.25">
      <c r="N155" s="170">
        <v>37</v>
      </c>
      <c r="O155" s="199">
        <f t="shared" si="102"/>
        <v>234.42288153199232</v>
      </c>
      <c r="P155" s="189" t="str">
        <f t="shared" si="103"/>
        <v>290</v>
      </c>
      <c r="Q155" s="160" t="e">
        <f t="shared" si="104"/>
        <v>#DIV/0!</v>
      </c>
      <c r="R155" s="160" t="e">
        <f t="shared" si="112"/>
        <v>#DIV/0!</v>
      </c>
      <c r="S155" s="160" t="e">
        <f t="shared" si="113"/>
        <v>#DIV/0!</v>
      </c>
      <c r="T155" s="160" t="e">
        <f t="shared" si="105"/>
        <v>#DIV/0!</v>
      </c>
      <c r="U155" s="160" t="e">
        <f t="shared" si="114"/>
        <v>#DIV/0!</v>
      </c>
      <c r="V155" s="160" t="e">
        <f t="shared" si="115"/>
        <v>#DIV/0!</v>
      </c>
      <c r="W155" s="98" t="str">
        <f t="shared" si="106"/>
        <v>1-0.0117373504141147i</v>
      </c>
      <c r="X155" s="160">
        <f t="shared" si="116"/>
        <v>1.0000688803251223</v>
      </c>
      <c r="Y155" s="160">
        <f t="shared" si="117"/>
        <v>-1.1736811458425983E-2</v>
      </c>
      <c r="Z155" s="98" t="str">
        <f t="shared" si="107"/>
        <v>0.999998864584971+0.00139378134181919i</v>
      </c>
      <c r="AA155" s="160">
        <f t="shared" si="118"/>
        <v>0.99999983589881658</v>
      </c>
      <c r="AB155" s="160">
        <f t="shared" si="119"/>
        <v>1.3937820218070903E-3</v>
      </c>
      <c r="AC155" s="171" t="e">
        <f t="shared" si="120"/>
        <v>#DIV/0!</v>
      </c>
      <c r="AD155" s="190" t="e">
        <f t="shared" si="121"/>
        <v>#DIV/0!</v>
      </c>
      <c r="AE155" s="169" t="e">
        <f t="shared" si="122"/>
        <v>#DIV/0!</v>
      </c>
      <c r="AF155" s="98" t="str">
        <f t="shared" si="108"/>
        <v>-0.0000182926829268293</v>
      </c>
      <c r="AG155" s="98" t="str">
        <f t="shared" si="109"/>
        <v>0.0000327283358370672i</v>
      </c>
      <c r="AH155" s="98">
        <f t="shared" si="123"/>
        <v>3.2728335837067197E-5</v>
      </c>
      <c r="AI155" s="98">
        <f t="shared" si="124"/>
        <v>1.5707963267948966</v>
      </c>
      <c r="AJ155" s="98" t="str">
        <f t="shared" si="110"/>
        <v>1+0.00320834583247398i</v>
      </c>
      <c r="AK155" s="98">
        <f t="shared" si="125"/>
        <v>1.0000051467282458</v>
      </c>
      <c r="AL155" s="98">
        <f t="shared" si="126"/>
        <v>3.2083348241908937E-3</v>
      </c>
      <c r="AM155" s="98" t="str">
        <f t="shared" si="111"/>
        <v>1+0.324042929079872i</v>
      </c>
      <c r="AN155" s="98">
        <f t="shared" si="127"/>
        <v>1.0511916190146604</v>
      </c>
      <c r="AO155" s="98">
        <f t="shared" si="128"/>
        <v>0.31336601778495671</v>
      </c>
      <c r="AP155" s="168" t="str">
        <f t="shared" si="129"/>
        <v>-0.179320602228674+0.559500255870285i</v>
      </c>
      <c r="AQ155" s="98">
        <f t="shared" si="130"/>
        <v>-4.6193372362593701</v>
      </c>
      <c r="AR155" s="169">
        <f t="shared" si="131"/>
        <v>107.77072621720849</v>
      </c>
      <c r="AS155" s="168" t="e">
        <f t="shared" si="132"/>
        <v>#DIV/0!</v>
      </c>
      <c r="AT155" s="190" t="e">
        <f t="shared" si="133"/>
        <v>#DIV/0!</v>
      </c>
      <c r="AU155" s="169" t="e">
        <f t="shared" si="134"/>
        <v>#DIV/0!</v>
      </c>
      <c r="AV155" s="225"/>
      <c r="AX155" t="e">
        <f t="shared" si="135"/>
        <v>#DIV/0!</v>
      </c>
      <c r="AY155" t="e">
        <f t="shared" si="136"/>
        <v>#DIV/0!</v>
      </c>
    </row>
    <row r="156" spans="14:51" x14ac:dyDescent="0.25">
      <c r="N156" s="170">
        <v>38</v>
      </c>
      <c r="O156" s="199">
        <f t="shared" si="102"/>
        <v>239.88329190194912</v>
      </c>
      <c r="P156" s="189" t="str">
        <f t="shared" si="103"/>
        <v>290</v>
      </c>
      <c r="Q156" s="160" t="e">
        <f t="shared" si="104"/>
        <v>#DIV/0!</v>
      </c>
      <c r="R156" s="160" t="e">
        <f t="shared" si="112"/>
        <v>#DIV/0!</v>
      </c>
      <c r="S156" s="160" t="e">
        <f t="shared" si="113"/>
        <v>#DIV/0!</v>
      </c>
      <c r="T156" s="160" t="e">
        <f t="shared" si="105"/>
        <v>#DIV/0!</v>
      </c>
      <c r="U156" s="160" t="e">
        <f t="shared" si="114"/>
        <v>#DIV/0!</v>
      </c>
      <c r="V156" s="160" t="e">
        <f t="shared" si="115"/>
        <v>#DIV/0!</v>
      </c>
      <c r="W156" s="98" t="str">
        <f t="shared" si="106"/>
        <v>1-0.0120107484267073i</v>
      </c>
      <c r="X156" s="160">
        <f t="shared" si="116"/>
        <v>1.0000721264377734</v>
      </c>
      <c r="Y156" s="160">
        <f t="shared" si="117"/>
        <v>-1.2010170927531625E-2</v>
      </c>
      <c r="Z156" s="98" t="str">
        <f t="shared" si="107"/>
        <v>0.99999881107451+0.00142624667985525i</v>
      </c>
      <c r="AA156" s="160">
        <f t="shared" si="118"/>
        <v>0.99999982816499788</v>
      </c>
      <c r="AB156" s="160">
        <f t="shared" si="119"/>
        <v>1.4262474084753998E-3</v>
      </c>
      <c r="AC156" s="171" t="e">
        <f t="shared" si="120"/>
        <v>#DIV/0!</v>
      </c>
      <c r="AD156" s="190" t="e">
        <f t="shared" si="121"/>
        <v>#DIV/0!</v>
      </c>
      <c r="AE156" s="169" t="e">
        <f t="shared" si="122"/>
        <v>#DIV/0!</v>
      </c>
      <c r="AF156" s="98" t="str">
        <f t="shared" si="108"/>
        <v>-0.0000182926829268293</v>
      </c>
      <c r="AG156" s="98" t="str">
        <f t="shared" si="109"/>
        <v>0.0000334906767110819i</v>
      </c>
      <c r="AH156" s="98">
        <f t="shared" si="123"/>
        <v>3.3490676711081898E-5</v>
      </c>
      <c r="AI156" s="98">
        <f t="shared" si="124"/>
        <v>1.5707963267948966</v>
      </c>
      <c r="AJ156" s="98" t="str">
        <f t="shared" si="110"/>
        <v>1+0.0032830778071838i</v>
      </c>
      <c r="AK156" s="98">
        <f t="shared" si="125"/>
        <v>1.0000053892854217</v>
      </c>
      <c r="AL156" s="98">
        <f t="shared" si="126"/>
        <v>3.2830660115993888E-3</v>
      </c>
      <c r="AM156" s="98" t="str">
        <f t="shared" si="111"/>
        <v>1+0.331590858525564i</v>
      </c>
      <c r="AN156" s="98">
        <f t="shared" si="127"/>
        <v>1.0535428313351671</v>
      </c>
      <c r="AO156" s="98">
        <f t="shared" si="128"/>
        <v>0.32018150814952551</v>
      </c>
      <c r="AP156" s="168" t="str">
        <f t="shared" si="129"/>
        <v>-0.179320515238157+0.546790971806959i</v>
      </c>
      <c r="AQ156" s="98">
        <f t="shared" si="130"/>
        <v>-4.7999332092272153</v>
      </c>
      <c r="AR156" s="169">
        <f t="shared" si="131"/>
        <v>108.15694326877389</v>
      </c>
      <c r="AS156" s="168" t="e">
        <f t="shared" si="132"/>
        <v>#DIV/0!</v>
      </c>
      <c r="AT156" s="190" t="e">
        <f t="shared" si="133"/>
        <v>#DIV/0!</v>
      </c>
      <c r="AU156" s="169" t="e">
        <f t="shared" si="134"/>
        <v>#DIV/0!</v>
      </c>
      <c r="AV156" s="225"/>
      <c r="AX156" t="e">
        <f t="shared" si="135"/>
        <v>#DIV/0!</v>
      </c>
      <c r="AY156" t="e">
        <f t="shared" si="136"/>
        <v>#DIV/0!</v>
      </c>
    </row>
    <row r="157" spans="14:51" x14ac:dyDescent="0.25">
      <c r="N157" s="170">
        <v>39</v>
      </c>
      <c r="O157" s="199">
        <f t="shared" si="102"/>
        <v>245.4708915685033</v>
      </c>
      <c r="P157" s="189" t="str">
        <f t="shared" si="103"/>
        <v>290</v>
      </c>
      <c r="Q157" s="160" t="e">
        <f t="shared" si="104"/>
        <v>#DIV/0!</v>
      </c>
      <c r="R157" s="160" t="e">
        <f t="shared" si="112"/>
        <v>#DIV/0!</v>
      </c>
      <c r="S157" s="160" t="e">
        <f t="shared" si="113"/>
        <v>#DIV/0!</v>
      </c>
      <c r="T157" s="160" t="e">
        <f t="shared" si="105"/>
        <v>#DIV/0!</v>
      </c>
      <c r="U157" s="160" t="e">
        <f t="shared" si="114"/>
        <v>#DIV/0!</v>
      </c>
      <c r="V157" s="160" t="e">
        <f t="shared" si="115"/>
        <v>#DIV/0!</v>
      </c>
      <c r="W157" s="98" t="str">
        <f t="shared" si="106"/>
        <v>1-0.0122905146970966i</v>
      </c>
      <c r="X157" s="160">
        <f t="shared" si="116"/>
        <v>1.0000755255237075</v>
      </c>
      <c r="Y157" s="160">
        <f t="shared" si="117"/>
        <v>-1.2289895898105009E-2</v>
      </c>
      <c r="Z157" s="98" t="str">
        <f t="shared" si="107"/>
        <v>0.999998755042178+0.00145946823275956i</v>
      </c>
      <c r="AA157" s="160">
        <f t="shared" si="118"/>
        <v>0.99999982006669796</v>
      </c>
      <c r="AB157" s="160">
        <f t="shared" si="119"/>
        <v>1.4594690134901041E-3</v>
      </c>
      <c r="AC157" s="171" t="e">
        <f t="shared" si="120"/>
        <v>#DIV/0!</v>
      </c>
      <c r="AD157" s="190" t="e">
        <f t="shared" si="121"/>
        <v>#DIV/0!</v>
      </c>
      <c r="AE157" s="169" t="e">
        <f t="shared" si="122"/>
        <v>#DIV/0!</v>
      </c>
      <c r="AF157" s="98" t="str">
        <f t="shared" si="108"/>
        <v>-0.0000182926829268293</v>
      </c>
      <c r="AG157" s="98" t="str">
        <f t="shared" si="109"/>
        <v>0.0000342707747851904i</v>
      </c>
      <c r="AH157" s="98">
        <f t="shared" si="123"/>
        <v>3.42707747851904E-5</v>
      </c>
      <c r="AI157" s="98">
        <f t="shared" si="124"/>
        <v>1.5707963267948966</v>
      </c>
      <c r="AJ157" s="98" t="str">
        <f t="shared" si="110"/>
        <v>1+0.00335955051320364i</v>
      </c>
      <c r="AK157" s="98">
        <f t="shared" si="125"/>
        <v>1.000005643273902</v>
      </c>
      <c r="AL157" s="98">
        <f t="shared" si="126"/>
        <v>3.3595378740110789E-3</v>
      </c>
      <c r="AM157" s="98" t="str">
        <f t="shared" si="111"/>
        <v>1+0.339314601833567i</v>
      </c>
      <c r="AN157" s="98">
        <f t="shared" si="127"/>
        <v>1.0559992419587583</v>
      </c>
      <c r="AO157" s="98">
        <f t="shared" si="128"/>
        <v>0.32712400222564242</v>
      </c>
      <c r="AP157" s="168" t="str">
        <f t="shared" si="129"/>
        <v>-0.179320424147991+0.534371603527591i</v>
      </c>
      <c r="AQ157" s="98">
        <f t="shared" si="130"/>
        <v>-4.9797072136794771</v>
      </c>
      <c r="AR157" s="169">
        <f t="shared" si="131"/>
        <v>108.55033736366227</v>
      </c>
      <c r="AS157" s="168" t="e">
        <f t="shared" si="132"/>
        <v>#DIV/0!</v>
      </c>
      <c r="AT157" s="190" t="e">
        <f t="shared" si="133"/>
        <v>#DIV/0!</v>
      </c>
      <c r="AU157" s="169" t="e">
        <f t="shared" si="134"/>
        <v>#DIV/0!</v>
      </c>
      <c r="AV157" s="225"/>
      <c r="AX157" t="e">
        <f t="shared" si="135"/>
        <v>#DIV/0!</v>
      </c>
      <c r="AY157" t="e">
        <f t="shared" si="136"/>
        <v>#DIV/0!</v>
      </c>
    </row>
    <row r="158" spans="14:51" x14ac:dyDescent="0.25">
      <c r="N158" s="170">
        <v>40</v>
      </c>
      <c r="O158" s="199">
        <f t="shared" si="102"/>
        <v>251.18864315095806</v>
      </c>
      <c r="P158" s="189" t="str">
        <f t="shared" si="103"/>
        <v>290</v>
      </c>
      <c r="Q158" s="160" t="e">
        <f t="shared" si="104"/>
        <v>#DIV/0!</v>
      </c>
      <c r="R158" s="160" t="e">
        <f t="shared" si="112"/>
        <v>#DIV/0!</v>
      </c>
      <c r="S158" s="160" t="e">
        <f t="shared" si="113"/>
        <v>#DIV/0!</v>
      </c>
      <c r="T158" s="160" t="e">
        <f t="shared" si="105"/>
        <v>#DIV/0!</v>
      </c>
      <c r="U158" s="160" t="e">
        <f t="shared" si="114"/>
        <v>#DIV/0!</v>
      </c>
      <c r="V158" s="160" t="e">
        <f t="shared" si="115"/>
        <v>#DIV/0!</v>
      </c>
      <c r="W158" s="98" t="str">
        <f t="shared" si="106"/>
        <v>1-0.0125767975610626i</v>
      </c>
      <c r="X158" s="160">
        <f t="shared" si="116"/>
        <v>1.000079084791244</v>
      </c>
      <c r="Y158" s="160">
        <f t="shared" si="117"/>
        <v>-1.2576134508828886E-2</v>
      </c>
      <c r="Z158" s="98" t="str">
        <f t="shared" si="107"/>
        <v>0.999998696369123+0.00149346361503924i</v>
      </c>
      <c r="AA158" s="160">
        <f t="shared" si="118"/>
        <v>0.99999981158673956</v>
      </c>
      <c r="AB158" s="160">
        <f t="shared" si="119"/>
        <v>1.4934644516070765E-3</v>
      </c>
      <c r="AC158" s="171" t="e">
        <f t="shared" si="120"/>
        <v>#DIV/0!</v>
      </c>
      <c r="AD158" s="190" t="e">
        <f t="shared" si="121"/>
        <v>#DIV/0!</v>
      </c>
      <c r="AE158" s="169" t="e">
        <f t="shared" si="122"/>
        <v>#DIV/0!</v>
      </c>
      <c r="AF158" s="98" t="str">
        <f t="shared" si="108"/>
        <v>-0.0000182926829268293</v>
      </c>
      <c r="AG158" s="98" t="str">
        <f t="shared" si="109"/>
        <v>0.0000350690436777173i</v>
      </c>
      <c r="AH158" s="98">
        <f t="shared" si="123"/>
        <v>3.5069043677717299E-5</v>
      </c>
      <c r="AI158" s="98">
        <f t="shared" si="124"/>
        <v>1.5707963267948966</v>
      </c>
      <c r="AJ158" s="98" t="str">
        <f t="shared" si="110"/>
        <v>1+0.00343780449737451i</v>
      </c>
      <c r="AK158" s="98">
        <f t="shared" si="125"/>
        <v>1.0000059092324216</v>
      </c>
      <c r="AL158" s="98">
        <f t="shared" si="126"/>
        <v>3.4377909542400008E-3</v>
      </c>
      <c r="AM158" s="98" t="str">
        <f t="shared" si="111"/>
        <v>1+0.347218254234825i</v>
      </c>
      <c r="AN158" s="98">
        <f t="shared" si="127"/>
        <v>1.058565310254346</v>
      </c>
      <c r="AO158" s="98">
        <f t="shared" si="128"/>
        <v>0.33419450319613525</v>
      </c>
      <c r="AP158" s="168" t="str">
        <f t="shared" si="129"/>
        <v>-0.179320328764979+0.522235566116807i</v>
      </c>
      <c r="AQ158" s="98">
        <f t="shared" si="130"/>
        <v>-5.1586284960422066</v>
      </c>
      <c r="AR158" s="169">
        <f t="shared" si="131"/>
        <v>108.95096365708363</v>
      </c>
      <c r="AS158" s="168" t="e">
        <f t="shared" si="132"/>
        <v>#DIV/0!</v>
      </c>
      <c r="AT158" s="190" t="e">
        <f t="shared" si="133"/>
        <v>#DIV/0!</v>
      </c>
      <c r="AU158" s="169" t="e">
        <f t="shared" si="134"/>
        <v>#DIV/0!</v>
      </c>
      <c r="AV158" s="225"/>
      <c r="AX158" t="e">
        <f t="shared" si="135"/>
        <v>#DIV/0!</v>
      </c>
      <c r="AY158" t="e">
        <f t="shared" si="136"/>
        <v>#DIV/0!</v>
      </c>
    </row>
    <row r="159" spans="14:51" x14ac:dyDescent="0.25">
      <c r="N159" s="170">
        <v>41</v>
      </c>
      <c r="O159" s="199">
        <f t="shared" si="102"/>
        <v>257.03957827688663</v>
      </c>
      <c r="P159" s="189" t="str">
        <f t="shared" si="103"/>
        <v>290</v>
      </c>
      <c r="Q159" s="160" t="e">
        <f t="shared" si="104"/>
        <v>#DIV/0!</v>
      </c>
      <c r="R159" s="160" t="e">
        <f t="shared" si="112"/>
        <v>#DIV/0!</v>
      </c>
      <c r="S159" s="160" t="e">
        <f t="shared" si="113"/>
        <v>#DIV/0!</v>
      </c>
      <c r="T159" s="160" t="e">
        <f t="shared" si="105"/>
        <v>#DIV/0!</v>
      </c>
      <c r="U159" s="160" t="e">
        <f t="shared" si="114"/>
        <v>#DIV/0!</v>
      </c>
      <c r="V159" s="160" t="e">
        <f t="shared" si="115"/>
        <v>#DIV/0!</v>
      </c>
      <c r="W159" s="98" t="str">
        <f t="shared" si="106"/>
        <v>1-0.012869748809569i</v>
      </c>
      <c r="X159" s="160">
        <f t="shared" si="116"/>
        <v>1.0000828117883145</v>
      </c>
      <c r="Y159" s="160">
        <f t="shared" si="117"/>
        <v>-1.2869038339477539E-2</v>
      </c>
      <c r="Z159" s="98" t="str">
        <f t="shared" si="107"/>
        <v>0.999998634930893+0.00152825085149594i</v>
      </c>
      <c r="AA159" s="160">
        <f t="shared" si="118"/>
        <v>0.99999980270713784</v>
      </c>
      <c r="AB159" s="160">
        <f t="shared" si="119"/>
        <v>1.5282517478945102E-3</v>
      </c>
      <c r="AC159" s="171" t="e">
        <f t="shared" si="120"/>
        <v>#DIV/0!</v>
      </c>
      <c r="AD159" s="190" t="e">
        <f t="shared" si="121"/>
        <v>#DIV/0!</v>
      </c>
      <c r="AE159" s="169" t="e">
        <f t="shared" si="122"/>
        <v>#DIV/0!</v>
      </c>
      <c r="AF159" s="98" t="str">
        <f t="shared" si="108"/>
        <v>-0.0000182926829268293</v>
      </c>
      <c r="AG159" s="98" t="str">
        <f t="shared" si="109"/>
        <v>0.0000358859066413958i</v>
      </c>
      <c r="AH159" s="98">
        <f t="shared" si="123"/>
        <v>3.5885906641395802E-5</v>
      </c>
      <c r="AI159" s="98">
        <f t="shared" si="124"/>
        <v>1.5707963267948966</v>
      </c>
      <c r="AJ159" s="98" t="str">
        <f t="shared" si="110"/>
        <v>1+0.00351788125099459i</v>
      </c>
      <c r="AK159" s="98">
        <f t="shared" si="125"/>
        <v>1.0000061877251041</v>
      </c>
      <c r="AL159" s="98">
        <f t="shared" si="126"/>
        <v>3.5178667392693598E-3</v>
      </c>
      <c r="AM159" s="98" t="str">
        <f t="shared" si="111"/>
        <v>1+0.355306006350453i</v>
      </c>
      <c r="AN159" s="98">
        <f t="shared" si="127"/>
        <v>1.0612456634298715</v>
      </c>
      <c r="AO159" s="98">
        <f t="shared" si="128"/>
        <v>0.34139393126997292</v>
      </c>
      <c r="AP159" s="168" t="str">
        <f t="shared" si="129"/>
        <v>-0.179320228886812+0.510376424884869i</v>
      </c>
      <c r="AQ159" s="98">
        <f t="shared" si="130"/>
        <v>-5.3366654996053295</v>
      </c>
      <c r="AR159" s="169">
        <f t="shared" si="131"/>
        <v>109.35887249609914</v>
      </c>
      <c r="AS159" s="168" t="e">
        <f t="shared" si="132"/>
        <v>#DIV/0!</v>
      </c>
      <c r="AT159" s="190" t="e">
        <f t="shared" si="133"/>
        <v>#DIV/0!</v>
      </c>
      <c r="AU159" s="169" t="e">
        <f t="shared" si="134"/>
        <v>#DIV/0!</v>
      </c>
      <c r="AV159" s="225"/>
      <c r="AX159" t="e">
        <f t="shared" si="135"/>
        <v>#DIV/0!</v>
      </c>
      <c r="AY159" t="e">
        <f t="shared" si="136"/>
        <v>#DIV/0!</v>
      </c>
    </row>
    <row r="160" spans="14:51" x14ac:dyDescent="0.25">
      <c r="N160" s="170">
        <v>42</v>
      </c>
      <c r="O160" s="199">
        <f t="shared" si="102"/>
        <v>263.02679918953817</v>
      </c>
      <c r="P160" s="189" t="str">
        <f t="shared" si="103"/>
        <v>290</v>
      </c>
      <c r="Q160" s="160" t="e">
        <f t="shared" si="104"/>
        <v>#DIV/0!</v>
      </c>
      <c r="R160" s="160" t="e">
        <f t="shared" si="112"/>
        <v>#DIV/0!</v>
      </c>
      <c r="S160" s="160" t="e">
        <f t="shared" si="113"/>
        <v>#DIV/0!</v>
      </c>
      <c r="T160" s="160" t="e">
        <f t="shared" si="105"/>
        <v>#DIV/0!</v>
      </c>
      <c r="U160" s="160" t="e">
        <f t="shared" si="114"/>
        <v>#DIV/0!</v>
      </c>
      <c r="V160" s="160" t="e">
        <f t="shared" si="115"/>
        <v>#DIV/0!</v>
      </c>
      <c r="W160" s="98" t="str">
        <f t="shared" si="106"/>
        <v>1-0.0131695237692455i</v>
      </c>
      <c r="X160" s="160">
        <f t="shared" si="116"/>
        <v>1.0000867144184591</v>
      </c>
      <c r="Y160" s="160">
        <f t="shared" si="117"/>
        <v>-1.3168762490391702E-2</v>
      </c>
      <c r="Z160" s="98" t="str">
        <f t="shared" si="107"/>
        <v>0.999998570597168+0.00156384838678289i</v>
      </c>
      <c r="AA160" s="160">
        <f t="shared" si="118"/>
        <v>0.99999979340905665</v>
      </c>
      <c r="AB160" s="160">
        <f t="shared" si="119"/>
        <v>1.5638493472912452E-3</v>
      </c>
      <c r="AC160" s="171" t="e">
        <f t="shared" si="120"/>
        <v>#DIV/0!</v>
      </c>
      <c r="AD160" s="190" t="e">
        <f t="shared" si="121"/>
        <v>#DIV/0!</v>
      </c>
      <c r="AE160" s="169" t="e">
        <f t="shared" si="122"/>
        <v>#DIV/0!</v>
      </c>
      <c r="AF160" s="98" t="str">
        <f t="shared" si="108"/>
        <v>-0.0000182926829268293</v>
      </c>
      <c r="AG160" s="98" t="str">
        <f t="shared" si="109"/>
        <v>0.0000367217967877817i</v>
      </c>
      <c r="AH160" s="98">
        <f t="shared" si="123"/>
        <v>3.6721796787781699E-5</v>
      </c>
      <c r="AI160" s="98">
        <f t="shared" si="124"/>
        <v>1.5707963267948966</v>
      </c>
      <c r="AJ160" s="98" t="str">
        <f t="shared" si="110"/>
        <v>1+0.00359982323181861i</v>
      </c>
      <c r="AK160" s="98">
        <f t="shared" si="125"/>
        <v>1.0000064793426593</v>
      </c>
      <c r="AL160" s="98">
        <f t="shared" si="126"/>
        <v>3.5998076822303148E-3</v>
      </c>
      <c r="AM160" s="98" t="str">
        <f t="shared" si="111"/>
        <v>1+0.363582146413679i</v>
      </c>
      <c r="AN160" s="98">
        <f t="shared" si="127"/>
        <v>1.0640451011074568</v>
      </c>
      <c r="AO160" s="98">
        <f t="shared" si="128"/>
        <v>0.34872311746584178</v>
      </c>
      <c r="AP160" s="168" t="str">
        <f t="shared" si="129"/>
        <v>-0.179320124301651+0.498787891955908i</v>
      </c>
      <c r="AQ160" s="98">
        <f t="shared" si="130"/>
        <v>-5.5137858733766905</v>
      </c>
      <c r="AR160" s="169">
        <f t="shared" si="131"/>
        <v>109.77410906218697</v>
      </c>
      <c r="AS160" s="168" t="e">
        <f t="shared" si="132"/>
        <v>#DIV/0!</v>
      </c>
      <c r="AT160" s="190" t="e">
        <f t="shared" si="133"/>
        <v>#DIV/0!</v>
      </c>
      <c r="AU160" s="169" t="e">
        <f t="shared" si="134"/>
        <v>#DIV/0!</v>
      </c>
      <c r="AV160" s="225"/>
      <c r="AX160" t="e">
        <f t="shared" si="135"/>
        <v>#DIV/0!</v>
      </c>
      <c r="AY160" t="e">
        <f t="shared" si="136"/>
        <v>#DIV/0!</v>
      </c>
    </row>
    <row r="161" spans="14:51" x14ac:dyDescent="0.25">
      <c r="N161" s="170">
        <v>43</v>
      </c>
      <c r="O161" s="199">
        <f t="shared" si="102"/>
        <v>269.15348039269179</v>
      </c>
      <c r="P161" s="189" t="str">
        <f t="shared" si="103"/>
        <v>290</v>
      </c>
      <c r="Q161" s="160" t="e">
        <f t="shared" si="104"/>
        <v>#DIV/0!</v>
      </c>
      <c r="R161" s="160" t="e">
        <f t="shared" si="112"/>
        <v>#DIV/0!</v>
      </c>
      <c r="S161" s="160" t="e">
        <f t="shared" si="113"/>
        <v>#DIV/0!</v>
      </c>
      <c r="T161" s="160" t="e">
        <f t="shared" si="105"/>
        <v>#DIV/0!</v>
      </c>
      <c r="U161" s="160" t="e">
        <f t="shared" si="114"/>
        <v>#DIV/0!</v>
      </c>
      <c r="V161" s="160" t="e">
        <f t="shared" si="115"/>
        <v>#DIV/0!</v>
      </c>
      <c r="W161" s="98" t="str">
        <f t="shared" si="106"/>
        <v>1-0.0134762813847438i</v>
      </c>
      <c r="X161" s="160">
        <f t="shared" si="116"/>
        <v>1.0000908009575735</v>
      </c>
      <c r="Y161" s="160">
        <f t="shared" si="117"/>
        <v>-1.3475465663755234E-2</v>
      </c>
      <c r="Z161" s="98" t="str">
        <f t="shared" si="107"/>
        <v>0.999998503231487+0.00160027509518449i</v>
      </c>
      <c r="AA161" s="160">
        <f t="shared" si="118"/>
        <v>0.99999978367277387</v>
      </c>
      <c r="AB161" s="160">
        <f t="shared" si="119"/>
        <v>1.6002761243877168E-3</v>
      </c>
      <c r="AC161" s="171" t="e">
        <f t="shared" si="120"/>
        <v>#DIV/0!</v>
      </c>
      <c r="AD161" s="190" t="e">
        <f t="shared" si="121"/>
        <v>#DIV/0!</v>
      </c>
      <c r="AE161" s="169" t="e">
        <f t="shared" si="122"/>
        <v>#DIV/0!</v>
      </c>
      <c r="AF161" s="98" t="str">
        <f t="shared" si="108"/>
        <v>-0.0000182926829268293</v>
      </c>
      <c r="AG161" s="98" t="str">
        <f t="shared" si="109"/>
        <v>0.0000375771573168949i</v>
      </c>
      <c r="AH161" s="98">
        <f t="shared" si="123"/>
        <v>3.7577157316894899E-5</v>
      </c>
      <c r="AI161" s="98">
        <f t="shared" si="124"/>
        <v>1.5707963267948966</v>
      </c>
      <c r="AJ161" s="98" t="str">
        <f t="shared" si="110"/>
        <v>1+0.00368367388656945i</v>
      </c>
      <c r="AK161" s="98">
        <f t="shared" si="125"/>
        <v>1.0000067847036351</v>
      </c>
      <c r="AL161" s="98">
        <f t="shared" si="126"/>
        <v>3.6836572248915085E-3</v>
      </c>
      <c r="AM161" s="98" t="str">
        <f t="shared" si="111"/>
        <v>1+0.372051062543514i</v>
      </c>
      <c r="AN161" s="98">
        <f t="shared" si="127"/>
        <v>1.0669685998846252</v>
      </c>
      <c r="AO161" s="98">
        <f t="shared" si="128"/>
        <v>0.35618279723887492</v>
      </c>
      <c r="AP161" s="168" t="str">
        <f t="shared" si="129"/>
        <v>-0.179320014787675+0.487463822934005i</v>
      </c>
      <c r="AQ161" s="98">
        <f t="shared" si="130"/>
        <v>-5.6899564840158314</v>
      </c>
      <c r="AR161" s="169">
        <f t="shared" si="131"/>
        <v>110.19671300479226</v>
      </c>
      <c r="AS161" s="168" t="e">
        <f t="shared" si="132"/>
        <v>#DIV/0!</v>
      </c>
      <c r="AT161" s="190" t="e">
        <f t="shared" si="133"/>
        <v>#DIV/0!</v>
      </c>
      <c r="AU161" s="169" t="e">
        <f t="shared" si="134"/>
        <v>#DIV/0!</v>
      </c>
      <c r="AV161" s="225"/>
      <c r="AX161" t="e">
        <f t="shared" si="135"/>
        <v>#DIV/0!</v>
      </c>
      <c r="AY161" t="e">
        <f t="shared" si="136"/>
        <v>#DIV/0!</v>
      </c>
    </row>
    <row r="162" spans="14:51" x14ac:dyDescent="0.25">
      <c r="N162" s="170">
        <v>44</v>
      </c>
      <c r="O162" s="199">
        <f t="shared" si="102"/>
        <v>275.42287033381683</v>
      </c>
      <c r="P162" s="189" t="str">
        <f t="shared" si="103"/>
        <v>290</v>
      </c>
      <c r="Q162" s="160" t="e">
        <f t="shared" si="104"/>
        <v>#DIV/0!</v>
      </c>
      <c r="R162" s="160" t="e">
        <f t="shared" si="112"/>
        <v>#DIV/0!</v>
      </c>
      <c r="S162" s="160" t="e">
        <f t="shared" si="113"/>
        <v>#DIV/0!</v>
      </c>
      <c r="T162" s="160" t="e">
        <f t="shared" si="105"/>
        <v>#DIV/0!</v>
      </c>
      <c r="U162" s="160" t="e">
        <f t="shared" si="114"/>
        <v>#DIV/0!</v>
      </c>
      <c r="V162" s="160" t="e">
        <f t="shared" si="115"/>
        <v>#DIV/0!</v>
      </c>
      <c r="W162" s="98" t="str">
        <f t="shared" si="106"/>
        <v>1-0.0137901843030119i</v>
      </c>
      <c r="X162" s="160">
        <f t="shared" si="116"/>
        <v>1.0000950800714454</v>
      </c>
      <c r="Y162" s="160">
        <f t="shared" si="117"/>
        <v>-1.3789310246712925E-2</v>
      </c>
      <c r="Z162" s="98" t="str">
        <f t="shared" si="107"/>
        <v>0.999998432690961+0.00163755029062371i</v>
      </c>
      <c r="AA162" s="160">
        <f t="shared" si="118"/>
        <v>0.99999977347764069</v>
      </c>
      <c r="AB162" s="160">
        <f t="shared" si="119"/>
        <v>1.6375513934348122E-3</v>
      </c>
      <c r="AC162" s="171" t="e">
        <f t="shared" si="120"/>
        <v>#DIV/0!</v>
      </c>
      <c r="AD162" s="190" t="e">
        <f t="shared" si="121"/>
        <v>#DIV/0!</v>
      </c>
      <c r="AE162" s="169" t="e">
        <f t="shared" si="122"/>
        <v>#DIV/0!</v>
      </c>
      <c r="AF162" s="98" t="str">
        <f t="shared" si="108"/>
        <v>-0.0000182926829268293</v>
      </c>
      <c r="AG162" s="98" t="str">
        <f t="shared" si="109"/>
        <v>0.0000384524417522101i</v>
      </c>
      <c r="AH162" s="98">
        <f t="shared" si="123"/>
        <v>3.8452441752210099E-5</v>
      </c>
      <c r="AI162" s="98">
        <f t="shared" si="124"/>
        <v>1.5707963267948966</v>
      </c>
      <c r="AJ162" s="98" t="str">
        <f t="shared" si="110"/>
        <v>1+0.00376947767397413i</v>
      </c>
      <c r="AK162" s="98">
        <f t="shared" si="125"/>
        <v>1.0000071044557306</v>
      </c>
      <c r="AL162" s="98">
        <f t="shared" si="126"/>
        <v>3.7694598206714082E-3</v>
      </c>
      <c r="AM162" s="98" t="str">
        <f t="shared" si="111"/>
        <v>1+0.380717245071387i</v>
      </c>
      <c r="AN162" s="98">
        <f t="shared" si="127"/>
        <v>1.0700213178692968</v>
      </c>
      <c r="AO162" s="98">
        <f t="shared" si="128"/>
        <v>0.36377360396693731</v>
      </c>
      <c r="AP162" s="168" t="str">
        <f t="shared" si="129"/>
        <v>-0.179319900112607+0.476398213645331i</v>
      </c>
      <c r="AQ162" s="98">
        <f t="shared" si="130"/>
        <v>-5.8651434310547206</v>
      </c>
      <c r="AR162" s="169">
        <f t="shared" si="131"/>
        <v>110.62671806680035</v>
      </c>
      <c r="AS162" s="168" t="e">
        <f t="shared" si="132"/>
        <v>#DIV/0!</v>
      </c>
      <c r="AT162" s="190" t="e">
        <f t="shared" si="133"/>
        <v>#DIV/0!</v>
      </c>
      <c r="AU162" s="169" t="e">
        <f t="shared" si="134"/>
        <v>#DIV/0!</v>
      </c>
      <c r="AV162" s="225"/>
      <c r="AX162" t="e">
        <f t="shared" si="135"/>
        <v>#DIV/0!</v>
      </c>
      <c r="AY162" t="e">
        <f t="shared" si="136"/>
        <v>#DIV/0!</v>
      </c>
    </row>
    <row r="163" spans="14:51" x14ac:dyDescent="0.25">
      <c r="N163" s="170">
        <v>45</v>
      </c>
      <c r="O163" s="199">
        <f t="shared" si="102"/>
        <v>281.83829312644554</v>
      </c>
      <c r="P163" s="189" t="str">
        <f t="shared" si="103"/>
        <v>290</v>
      </c>
      <c r="Q163" s="160" t="e">
        <f t="shared" si="104"/>
        <v>#DIV/0!</v>
      </c>
      <c r="R163" s="160" t="e">
        <f t="shared" si="112"/>
        <v>#DIV/0!</v>
      </c>
      <c r="S163" s="160" t="e">
        <f t="shared" si="113"/>
        <v>#DIV/0!</v>
      </c>
      <c r="T163" s="160" t="e">
        <f t="shared" si="105"/>
        <v>#DIV/0!</v>
      </c>
      <c r="U163" s="160" t="e">
        <f t="shared" si="114"/>
        <v>#DIV/0!</v>
      </c>
      <c r="V163" s="160" t="e">
        <f t="shared" si="115"/>
        <v>#DIV/0!</v>
      </c>
      <c r="W163" s="98" t="str">
        <f t="shared" si="106"/>
        <v>1-0.0141113989595322i</v>
      </c>
      <c r="X163" s="160">
        <f t="shared" si="116"/>
        <v>1.0000995608341177</v>
      </c>
      <c r="Y163" s="160">
        <f t="shared" si="117"/>
        <v>-1.4110462396369495E-2</v>
      </c>
      <c r="Z163" s="98" t="str">
        <f t="shared" si="107"/>
        <v>0.999998358825961+0.00167569373690256i</v>
      </c>
      <c r="AA163" s="160">
        <f t="shared" si="118"/>
        <v>0.99999976280202951</v>
      </c>
      <c r="AB163" s="160">
        <f t="shared" si="119"/>
        <v>1.6756949185859219E-3</v>
      </c>
      <c r="AC163" s="171" t="e">
        <f t="shared" si="120"/>
        <v>#DIV/0!</v>
      </c>
      <c r="AD163" s="190" t="e">
        <f t="shared" si="121"/>
        <v>#DIV/0!</v>
      </c>
      <c r="AE163" s="169" t="e">
        <f t="shared" si="122"/>
        <v>#DIV/0!</v>
      </c>
      <c r="AF163" s="98" t="str">
        <f t="shared" si="108"/>
        <v>-0.0000182926829268293</v>
      </c>
      <c r="AG163" s="98" t="str">
        <f t="shared" si="109"/>
        <v>0.0000393481141811204i</v>
      </c>
      <c r="AH163" s="98">
        <f t="shared" si="123"/>
        <v>3.93481141811204E-5</v>
      </c>
      <c r="AI163" s="98">
        <f t="shared" si="124"/>
        <v>1.5707963267948966</v>
      </c>
      <c r="AJ163" s="98" t="str">
        <f t="shared" si="110"/>
        <v>1+0.00385728008833649i</v>
      </c>
      <c r="AK163" s="98">
        <f t="shared" si="125"/>
        <v>1.0000074392771685</v>
      </c>
      <c r="AL163" s="98">
        <f t="shared" si="126"/>
        <v>3.8572609581856475E-3</v>
      </c>
      <c r="AM163" s="98" t="str">
        <f t="shared" si="111"/>
        <v>1+0.389585288921985i</v>
      </c>
      <c r="AN163" s="98">
        <f t="shared" si="127"/>
        <v>1.0732085991755873</v>
      </c>
      <c r="AO163" s="98">
        <f t="shared" si="128"/>
        <v>0.37149606231538185</v>
      </c>
      <c r="AP163" s="168" t="str">
        <f t="shared" si="129"/>
        <v>-0.179319780033227+0.465585196954656i</v>
      </c>
      <c r="AQ163" s="98">
        <f t="shared" si="130"/>
        <v>-6.0393120656104813</v>
      </c>
      <c r="AR163" s="169">
        <f t="shared" si="131"/>
        <v>111.06415170301578</v>
      </c>
      <c r="AS163" s="168" t="e">
        <f t="shared" si="132"/>
        <v>#DIV/0!</v>
      </c>
      <c r="AT163" s="190" t="e">
        <f t="shared" si="133"/>
        <v>#DIV/0!</v>
      </c>
      <c r="AU163" s="169" t="e">
        <f t="shared" si="134"/>
        <v>#DIV/0!</v>
      </c>
      <c r="AV163" s="225"/>
      <c r="AX163" t="e">
        <f t="shared" si="135"/>
        <v>#DIV/0!</v>
      </c>
      <c r="AY163" t="e">
        <f t="shared" si="136"/>
        <v>#DIV/0!</v>
      </c>
    </row>
    <row r="164" spans="14:51" x14ac:dyDescent="0.25">
      <c r="N164" s="170">
        <v>46</v>
      </c>
      <c r="O164" s="199">
        <f t="shared" si="102"/>
        <v>288.40315031266073</v>
      </c>
      <c r="P164" s="189" t="str">
        <f t="shared" si="103"/>
        <v>290</v>
      </c>
      <c r="Q164" s="160" t="e">
        <f t="shared" si="104"/>
        <v>#DIV/0!</v>
      </c>
      <c r="R164" s="160" t="e">
        <f t="shared" si="112"/>
        <v>#DIV/0!</v>
      </c>
      <c r="S164" s="160" t="e">
        <f t="shared" si="113"/>
        <v>#DIV/0!</v>
      </c>
      <c r="T164" s="160" t="e">
        <f t="shared" si="105"/>
        <v>#DIV/0!</v>
      </c>
      <c r="U164" s="160" t="e">
        <f t="shared" si="114"/>
        <v>#DIV/0!</v>
      </c>
      <c r="V164" s="160" t="e">
        <f t="shared" si="115"/>
        <v>#DIV/0!</v>
      </c>
      <c r="W164" s="98" t="str">
        <f t="shared" si="106"/>
        <v>1-0.0144400956665672i</v>
      </c>
      <c r="X164" s="160">
        <f t="shared" si="116"/>
        <v>1.0001042527471122</v>
      </c>
      <c r="Y164" s="160">
        <f t="shared" si="117"/>
        <v>-1.4439092126707652E-2</v>
      </c>
      <c r="Z164" s="98" t="str">
        <f t="shared" si="107"/>
        <v>0.999998281479812+0.00171472565818113i</v>
      </c>
      <c r="AA164" s="160">
        <f t="shared" si="118"/>
        <v>0.99999975162329935</v>
      </c>
      <c r="AB164" s="160">
        <f t="shared" si="119"/>
        <v>1.7147269243776356E-3</v>
      </c>
      <c r="AC164" s="171" t="e">
        <f t="shared" si="120"/>
        <v>#DIV/0!</v>
      </c>
      <c r="AD164" s="190" t="e">
        <f t="shared" si="121"/>
        <v>#DIV/0!</v>
      </c>
      <c r="AE164" s="169" t="e">
        <f t="shared" si="122"/>
        <v>#DIV/0!</v>
      </c>
      <c r="AF164" s="98" t="str">
        <f t="shared" si="108"/>
        <v>-0.0000182926829268293</v>
      </c>
      <c r="AG164" s="98" t="str">
        <f t="shared" si="109"/>
        <v>0.0000402646495010035i</v>
      </c>
      <c r="AH164" s="98">
        <f t="shared" si="123"/>
        <v>4.0264649501003503E-5</v>
      </c>
      <c r="AI164" s="98">
        <f t="shared" si="124"/>
        <v>1.5707963267948966</v>
      </c>
      <c r="AJ164" s="98" t="str">
        <f t="shared" si="110"/>
        <v>1+0.00394712768365882i</v>
      </c>
      <c r="AK164" s="98">
        <f t="shared" si="125"/>
        <v>1.0000077898781345</v>
      </c>
      <c r="AL164" s="98">
        <f t="shared" si="126"/>
        <v>3.9471071853415043E-3</v>
      </c>
      <c r="AM164" s="98" t="str">
        <f t="shared" si="111"/>
        <v>1+0.39865989604954i</v>
      </c>
      <c r="AN164" s="98">
        <f t="shared" si="127"/>
        <v>1.0765359783668311</v>
      </c>
      <c r="AO164" s="98">
        <f t="shared" si="128"/>
        <v>0.37935058150181883</v>
      </c>
      <c r="AP164" s="168" t="str">
        <f t="shared" si="129"/>
        <v>-0.179319654294852+0.455019039654487i</v>
      </c>
      <c r="AQ164" s="98">
        <f t="shared" si="130"/>
        <v>-6.2124270127934986</v>
      </c>
      <c r="AR164" s="169">
        <f t="shared" si="131"/>
        <v>111.50903469288187</v>
      </c>
      <c r="AS164" s="168" t="e">
        <f t="shared" si="132"/>
        <v>#DIV/0!</v>
      </c>
      <c r="AT164" s="190" t="e">
        <f t="shared" si="133"/>
        <v>#DIV/0!</v>
      </c>
      <c r="AU164" s="169" t="e">
        <f t="shared" si="134"/>
        <v>#DIV/0!</v>
      </c>
      <c r="AV164" s="225"/>
      <c r="AX164" t="e">
        <f t="shared" si="135"/>
        <v>#DIV/0!</v>
      </c>
      <c r="AY164" t="e">
        <f t="shared" si="136"/>
        <v>#DIV/0!</v>
      </c>
    </row>
    <row r="165" spans="14:51" x14ac:dyDescent="0.25">
      <c r="N165" s="170">
        <v>47</v>
      </c>
      <c r="O165" s="199">
        <f t="shared" si="102"/>
        <v>295.12092266663871</v>
      </c>
      <c r="P165" s="189" t="str">
        <f t="shared" si="103"/>
        <v>290</v>
      </c>
      <c r="Q165" s="160" t="e">
        <f t="shared" si="104"/>
        <v>#DIV/0!</v>
      </c>
      <c r="R165" s="160" t="e">
        <f t="shared" si="112"/>
        <v>#DIV/0!</v>
      </c>
      <c r="S165" s="160" t="e">
        <f t="shared" si="113"/>
        <v>#DIV/0!</v>
      </c>
      <c r="T165" s="160" t="e">
        <f t="shared" si="105"/>
        <v>#DIV/0!</v>
      </c>
      <c r="U165" s="160" t="e">
        <f t="shared" si="114"/>
        <v>#DIV/0!</v>
      </c>
      <c r="V165" s="160" t="e">
        <f t="shared" si="115"/>
        <v>#DIV/0!</v>
      </c>
      <c r="W165" s="98" t="str">
        <f t="shared" si="106"/>
        <v>1-0.0147764487034619i</v>
      </c>
      <c r="X165" s="160">
        <f t="shared" si="116"/>
        <v>1.0001091657595615</v>
      </c>
      <c r="Y165" s="160">
        <f t="shared" si="117"/>
        <v>-1.4775373397467982E-2</v>
      </c>
      <c r="Z165" s="98" t="str">
        <f t="shared" si="107"/>
        <v>0.99999820048845+0.00175466674970076i</v>
      </c>
      <c r="AA165" s="160">
        <f t="shared" si="118"/>
        <v>0.9999997399177365</v>
      </c>
      <c r="AB165" s="160">
        <f t="shared" si="119"/>
        <v>1.754668106454729E-3</v>
      </c>
      <c r="AC165" s="171" t="e">
        <f t="shared" si="120"/>
        <v>#DIV/0!</v>
      </c>
      <c r="AD165" s="190" t="e">
        <f t="shared" si="121"/>
        <v>#DIV/0!</v>
      </c>
      <c r="AE165" s="169" t="e">
        <f t="shared" si="122"/>
        <v>#DIV/0!</v>
      </c>
      <c r="AF165" s="98" t="str">
        <f t="shared" si="108"/>
        <v>-0.0000182926829268293</v>
      </c>
      <c r="AG165" s="98" t="str">
        <f t="shared" si="109"/>
        <v>0.0000412025336710176i</v>
      </c>
      <c r="AH165" s="98">
        <f t="shared" si="123"/>
        <v>4.1202533671017598E-5</v>
      </c>
      <c r="AI165" s="98">
        <f t="shared" si="124"/>
        <v>1.5707963267948966</v>
      </c>
      <c r="AJ165" s="98" t="str">
        <f t="shared" si="110"/>
        <v>1+0.00403906809832543i</v>
      </c>
      <c r="AK165" s="98">
        <f t="shared" si="125"/>
        <v>1.0000081570022832</v>
      </c>
      <c r="AL165" s="98">
        <f t="shared" si="126"/>
        <v>4.0390461339923781E-3</v>
      </c>
      <c r="AM165" s="98" t="str">
        <f t="shared" si="111"/>
        <v>1+0.407945877930868i</v>
      </c>
      <c r="AN165" s="98">
        <f t="shared" si="127"/>
        <v>1.0800091848316786</v>
      </c>
      <c r="AO165" s="98">
        <f t="shared" si="128"/>
        <v>0.38733744848522977</v>
      </c>
      <c r="AP165" s="168" t="str">
        <f t="shared" si="129"/>
        <v>-0.1793195226308+0.444694139425239i</v>
      </c>
      <c r="AQ165" s="98">
        <f t="shared" si="130"/>
        <v>-6.3844521980070716</v>
      </c>
      <c r="AR165" s="169">
        <f t="shared" si="131"/>
        <v>111.96138074883321</v>
      </c>
      <c r="AS165" s="168" t="e">
        <f t="shared" si="132"/>
        <v>#DIV/0!</v>
      </c>
      <c r="AT165" s="190" t="e">
        <f t="shared" si="133"/>
        <v>#DIV/0!</v>
      </c>
      <c r="AU165" s="169" t="e">
        <f t="shared" si="134"/>
        <v>#DIV/0!</v>
      </c>
      <c r="AV165" s="225"/>
      <c r="AX165" t="e">
        <f t="shared" si="135"/>
        <v>#DIV/0!</v>
      </c>
      <c r="AY165" t="e">
        <f t="shared" si="136"/>
        <v>#DIV/0!</v>
      </c>
    </row>
    <row r="166" spans="14:51" x14ac:dyDescent="0.25">
      <c r="N166" s="170">
        <v>48</v>
      </c>
      <c r="O166" s="199">
        <f t="shared" si="102"/>
        <v>301.99517204020168</v>
      </c>
      <c r="P166" s="189" t="str">
        <f t="shared" si="103"/>
        <v>290</v>
      </c>
      <c r="Q166" s="160" t="e">
        <f t="shared" si="104"/>
        <v>#DIV/0!</v>
      </c>
      <c r="R166" s="160" t="e">
        <f t="shared" si="112"/>
        <v>#DIV/0!</v>
      </c>
      <c r="S166" s="160" t="e">
        <f t="shared" si="113"/>
        <v>#DIV/0!</v>
      </c>
      <c r="T166" s="160" t="e">
        <f t="shared" si="105"/>
        <v>#DIV/0!</v>
      </c>
      <c r="U166" s="160" t="e">
        <f t="shared" si="114"/>
        <v>#DIV/0!</v>
      </c>
      <c r="V166" s="160" t="e">
        <f t="shared" si="115"/>
        <v>#DIV/0!</v>
      </c>
      <c r="W166" s="98" t="str">
        <f t="shared" si="106"/>
        <v>1-0.0151206364090486i</v>
      </c>
      <c r="X166" s="160">
        <f t="shared" si="116"/>
        <v>1.0001143102892862</v>
      </c>
      <c r="Y166" s="160">
        <f t="shared" si="117"/>
        <v>-1.5119484205029636E-2</v>
      </c>
      <c r="Z166" s="98" t="str">
        <f t="shared" si="107"/>
        <v>0.999998115680084+0.00179553818875683i</v>
      </c>
      <c r="AA166" s="160">
        <f t="shared" si="118"/>
        <v>0.99999972766051592</v>
      </c>
      <c r="AB166" s="160">
        <f t="shared" si="119"/>
        <v>1.7955396425448631E-3</v>
      </c>
      <c r="AC166" s="171" t="e">
        <f t="shared" si="120"/>
        <v>#DIV/0!</v>
      </c>
      <c r="AD166" s="190" t="e">
        <f t="shared" si="121"/>
        <v>#DIV/0!</v>
      </c>
      <c r="AE166" s="169" t="e">
        <f t="shared" si="122"/>
        <v>#DIV/0!</v>
      </c>
      <c r="AF166" s="98" t="str">
        <f t="shared" si="108"/>
        <v>-0.0000182926829268293</v>
      </c>
      <c r="AG166" s="98" t="str">
        <f t="shared" si="109"/>
        <v>0.0000421622639697641i</v>
      </c>
      <c r="AH166" s="98">
        <f t="shared" si="123"/>
        <v>4.2162263969764098E-5</v>
      </c>
      <c r="AI166" s="98">
        <f t="shared" si="124"/>
        <v>1.5707963267948966</v>
      </c>
      <c r="AJ166" s="98" t="str">
        <f t="shared" si="110"/>
        <v>1+0.00413315008036116i</v>
      </c>
      <c r="AK166" s="98">
        <f t="shared" si="125"/>
        <v>1.0000085414283153</v>
      </c>
      <c r="AL166" s="98">
        <f t="shared" si="126"/>
        <v>4.1331265451651248E-3</v>
      </c>
      <c r="AM166" s="98" t="str">
        <f t="shared" si="111"/>
        <v>1+0.417448158116477i</v>
      </c>
      <c r="AN166" s="98">
        <f t="shared" si="127"/>
        <v>1.0836341470786344</v>
      </c>
      <c r="AO166" s="98">
        <f t="shared" si="128"/>
        <v>0.3954568211065761</v>
      </c>
      <c r="AP166" s="168" t="str">
        <f t="shared" si="129"/>
        <v>-0.179319384761819+0.434605021864799i</v>
      </c>
      <c r="AQ166" s="98">
        <f t="shared" si="130"/>
        <v>-6.5553508773284488</v>
      </c>
      <c r="AR166" s="169">
        <f t="shared" si="131"/>
        <v>112.42119612183537</v>
      </c>
      <c r="AS166" s="168" t="e">
        <f t="shared" si="132"/>
        <v>#DIV/0!</v>
      </c>
      <c r="AT166" s="190" t="e">
        <f t="shared" si="133"/>
        <v>#DIV/0!</v>
      </c>
      <c r="AU166" s="169" t="e">
        <f t="shared" si="134"/>
        <v>#DIV/0!</v>
      </c>
      <c r="AV166" s="225"/>
      <c r="AX166" t="e">
        <f t="shared" si="135"/>
        <v>#DIV/0!</v>
      </c>
      <c r="AY166" t="e">
        <f t="shared" si="136"/>
        <v>#DIV/0!</v>
      </c>
    </row>
    <row r="167" spans="14:51" x14ac:dyDescent="0.25">
      <c r="N167" s="170">
        <v>49</v>
      </c>
      <c r="O167" s="199">
        <f t="shared" si="102"/>
        <v>309.02954325135937</v>
      </c>
      <c r="P167" s="189" t="str">
        <f t="shared" si="103"/>
        <v>290</v>
      </c>
      <c r="Q167" s="160" t="e">
        <f t="shared" si="104"/>
        <v>#DIV/0!</v>
      </c>
      <c r="R167" s="160" t="e">
        <f t="shared" si="112"/>
        <v>#DIV/0!</v>
      </c>
      <c r="S167" s="160" t="e">
        <f t="shared" si="113"/>
        <v>#DIV/0!</v>
      </c>
      <c r="T167" s="160" t="e">
        <f t="shared" si="105"/>
        <v>#DIV/0!</v>
      </c>
      <c r="U167" s="160" t="e">
        <f t="shared" si="114"/>
        <v>#DIV/0!</v>
      </c>
      <c r="V167" s="160" t="e">
        <f t="shared" si="115"/>
        <v>#DIV/0!</v>
      </c>
      <c r="W167" s="98" t="str">
        <f t="shared" si="106"/>
        <v>1-0.0154728412762046i</v>
      </c>
      <c r="X167" s="160">
        <f t="shared" si="116"/>
        <v>1.000119697244864</v>
      </c>
      <c r="Y167" s="160">
        <f t="shared" si="117"/>
        <v>-1.5471606675335009E-2</v>
      </c>
      <c r="Z167" s="98" t="str">
        <f t="shared" si="107"/>
        <v>0.999998026874822+0.00183736164592734i</v>
      </c>
      <c r="AA167" s="160">
        <f t="shared" si="118"/>
        <v>0.99999971482563699</v>
      </c>
      <c r="AB167" s="160">
        <f t="shared" si="119"/>
        <v>1.8373632036892435E-3</v>
      </c>
      <c r="AC167" s="171" t="e">
        <f t="shared" si="120"/>
        <v>#DIV/0!</v>
      </c>
      <c r="AD167" s="190" t="e">
        <f t="shared" si="121"/>
        <v>#DIV/0!</v>
      </c>
      <c r="AE167" s="169" t="e">
        <f t="shared" si="122"/>
        <v>#DIV/0!</v>
      </c>
      <c r="AF167" s="98" t="str">
        <f t="shared" si="108"/>
        <v>-0.0000182926829268293</v>
      </c>
      <c r="AG167" s="98" t="str">
        <f t="shared" si="109"/>
        <v>0.000043144349258951i</v>
      </c>
      <c r="AH167" s="98">
        <f t="shared" si="123"/>
        <v>4.3144349258951003E-5</v>
      </c>
      <c r="AI167" s="98">
        <f t="shared" si="124"/>
        <v>1.5707963267948966</v>
      </c>
      <c r="AJ167" s="98" t="str">
        <f t="shared" si="110"/>
        <v>1+0.00422942351327821i</v>
      </c>
      <c r="AK167" s="98">
        <f t="shared" si="125"/>
        <v>1.00000894397163</v>
      </c>
      <c r="AL167" s="98">
        <f t="shared" si="126"/>
        <v>4.2293982948734873E-3</v>
      </c>
      <c r="AM167" s="98" t="str">
        <f t="shared" si="111"/>
        <v>1+0.427171774841099i</v>
      </c>
      <c r="AN167" s="98">
        <f t="shared" si="127"/>
        <v>1.0874169969339704</v>
      </c>
      <c r="AO167" s="98">
        <f t="shared" si="128"/>
        <v>0.40370872121095891</v>
      </c>
      <c r="AP167" s="168" t="str">
        <f t="shared" si="129"/>
        <v>-0.1793192403955+0.424746337585903i</v>
      </c>
      <c r="AQ167" s="98">
        <f t="shared" si="130"/>
        <v>-6.7250856721501719</v>
      </c>
      <c r="AR167" s="169">
        <f t="shared" si="131"/>
        <v>112.88847920583551</v>
      </c>
      <c r="AS167" s="168" t="e">
        <f t="shared" si="132"/>
        <v>#DIV/0!</v>
      </c>
      <c r="AT167" s="190" t="e">
        <f t="shared" si="133"/>
        <v>#DIV/0!</v>
      </c>
      <c r="AU167" s="169" t="e">
        <f t="shared" si="134"/>
        <v>#DIV/0!</v>
      </c>
      <c r="AV167" s="225"/>
      <c r="AX167" t="e">
        <f t="shared" si="135"/>
        <v>#DIV/0!</v>
      </c>
      <c r="AY167" t="e">
        <f t="shared" si="136"/>
        <v>#DIV/0!</v>
      </c>
    </row>
    <row r="168" spans="14:51" x14ac:dyDescent="0.25">
      <c r="N168" s="170">
        <v>50</v>
      </c>
      <c r="O168" s="199">
        <f t="shared" si="102"/>
        <v>316.22776601683825</v>
      </c>
      <c r="P168" s="189" t="str">
        <f t="shared" si="103"/>
        <v>290</v>
      </c>
      <c r="Q168" s="160" t="e">
        <f t="shared" si="104"/>
        <v>#DIV/0!</v>
      </c>
      <c r="R168" s="160" t="e">
        <f t="shared" si="112"/>
        <v>#DIV/0!</v>
      </c>
      <c r="S168" s="160" t="e">
        <f t="shared" si="113"/>
        <v>#DIV/0!</v>
      </c>
      <c r="T168" s="160" t="e">
        <f t="shared" si="105"/>
        <v>#DIV/0!</v>
      </c>
      <c r="U168" s="160" t="e">
        <f t="shared" si="114"/>
        <v>#DIV/0!</v>
      </c>
      <c r="V168" s="160" t="e">
        <f t="shared" si="115"/>
        <v>#DIV/0!</v>
      </c>
      <c r="W168" s="98" t="str">
        <f t="shared" si="106"/>
        <v>1-0.0158332500486126i</v>
      </c>
      <c r="X168" s="160">
        <f t="shared" si="116"/>
        <v>1.0001253380487378</v>
      </c>
      <c r="Y168" s="160">
        <f t="shared" si="117"/>
        <v>-1.5831927158900472E-2</v>
      </c>
      <c r="Z168" s="98" t="str">
        <f t="shared" si="107"/>
        <v>0.999997933884297+0.00188015929656288i</v>
      </c>
      <c r="AA168" s="160">
        <f t="shared" si="118"/>
        <v>0.99999970138587713</v>
      </c>
      <c r="AB168" s="160">
        <f t="shared" si="119"/>
        <v>1.8801609657347874E-3</v>
      </c>
      <c r="AC168" s="171" t="e">
        <f t="shared" si="120"/>
        <v>#DIV/0!</v>
      </c>
      <c r="AD168" s="190" t="e">
        <f t="shared" si="121"/>
        <v>#DIV/0!</v>
      </c>
      <c r="AE168" s="169" t="e">
        <f t="shared" si="122"/>
        <v>#DIV/0!</v>
      </c>
      <c r="AF168" s="98" t="str">
        <f t="shared" si="108"/>
        <v>-0.0000182926829268293</v>
      </c>
      <c r="AG168" s="98" t="str">
        <f t="shared" si="109"/>
        <v>0.0000441493102531979i</v>
      </c>
      <c r="AH168" s="98">
        <f t="shared" si="123"/>
        <v>4.4149310253197902E-5</v>
      </c>
      <c r="AI168" s="98">
        <f t="shared" si="124"/>
        <v>1.5707963267948966</v>
      </c>
      <c r="AJ168" s="98" t="str">
        <f t="shared" si="110"/>
        <v>1+0.00432793944252503i</v>
      </c>
      <c r="AK168" s="98">
        <f t="shared" si="125"/>
        <v>1.0000093654860529</v>
      </c>
      <c r="AL168" s="98">
        <f t="shared" si="126"/>
        <v>4.3279124205311903E-3</v>
      </c>
      <c r="AM168" s="98" t="str">
        <f t="shared" si="111"/>
        <v>1+0.437121883695028i</v>
      </c>
      <c r="AN168" s="98">
        <f t="shared" si="127"/>
        <v>1.0913640736276276</v>
      </c>
      <c r="AO168" s="98">
        <f t="shared" si="128"/>
        <v>0.41209302778431239</v>
      </c>
      <c r="AP168" s="168" t="str">
        <f t="shared" si="129"/>
        <v>-0.179319089225655+0.415112859379814i</v>
      </c>
      <c r="AQ168" s="98">
        <f t="shared" si="130"/>
        <v>-6.893618608247067</v>
      </c>
      <c r="AR168" s="169">
        <f t="shared" si="131"/>
        <v>113.36322014300977</v>
      </c>
      <c r="AS168" s="168" t="e">
        <f t="shared" si="132"/>
        <v>#DIV/0!</v>
      </c>
      <c r="AT168" s="190" t="e">
        <f t="shared" si="133"/>
        <v>#DIV/0!</v>
      </c>
      <c r="AU168" s="169" t="e">
        <f t="shared" si="134"/>
        <v>#DIV/0!</v>
      </c>
      <c r="AV168" s="225"/>
      <c r="AX168" t="e">
        <f t="shared" si="135"/>
        <v>#DIV/0!</v>
      </c>
      <c r="AY168" t="e">
        <f t="shared" si="136"/>
        <v>#DIV/0!</v>
      </c>
    </row>
    <row r="169" spans="14:51" x14ac:dyDescent="0.25">
      <c r="N169" s="170">
        <v>51</v>
      </c>
      <c r="O169" s="199">
        <f t="shared" si="102"/>
        <v>323.59365692962825</v>
      </c>
      <c r="P169" s="189" t="str">
        <f t="shared" si="103"/>
        <v>290</v>
      </c>
      <c r="Q169" s="160" t="e">
        <f t="shared" si="104"/>
        <v>#DIV/0!</v>
      </c>
      <c r="R169" s="160" t="e">
        <f t="shared" si="112"/>
        <v>#DIV/0!</v>
      </c>
      <c r="S169" s="160" t="e">
        <f t="shared" si="113"/>
        <v>#DIV/0!</v>
      </c>
      <c r="T169" s="160" t="e">
        <f t="shared" si="105"/>
        <v>#DIV/0!</v>
      </c>
      <c r="U169" s="160" t="e">
        <f t="shared" si="114"/>
        <v>#DIV/0!</v>
      </c>
      <c r="V169" s="160" t="e">
        <f t="shared" si="115"/>
        <v>#DIV/0!</v>
      </c>
      <c r="W169" s="98" t="str">
        <f t="shared" si="106"/>
        <v>1-0.0162020538197741i</v>
      </c>
      <c r="X169" s="160">
        <f t="shared" si="116"/>
        <v>1.0001312446614088</v>
      </c>
      <c r="Y169" s="160">
        <f t="shared" si="117"/>
        <v>-1.6200636327955136E-2</v>
      </c>
      <c r="Z169" s="98" t="str">
        <f t="shared" si="107"/>
        <v>0.999997836511264+0.00192395383254431i</v>
      </c>
      <c r="AA169" s="160">
        <f t="shared" si="118"/>
        <v>0.99999968731273037</v>
      </c>
      <c r="AB169" s="160">
        <f t="shared" si="119"/>
        <v>1.9239556210941815E-3</v>
      </c>
      <c r="AC169" s="171" t="e">
        <f t="shared" si="120"/>
        <v>#DIV/0!</v>
      </c>
      <c r="AD169" s="190" t="e">
        <f t="shared" si="121"/>
        <v>#DIV/0!</v>
      </c>
      <c r="AE169" s="169" t="e">
        <f t="shared" si="122"/>
        <v>#DIV/0!</v>
      </c>
      <c r="AF169" s="98" t="str">
        <f t="shared" si="108"/>
        <v>-0.0000182926829268293</v>
      </c>
      <c r="AG169" s="98" t="str">
        <f t="shared" si="109"/>
        <v>0.0000451776797961262i</v>
      </c>
      <c r="AH169" s="98">
        <f t="shared" si="123"/>
        <v>4.5177679796126201E-5</v>
      </c>
      <c r="AI169" s="98">
        <f t="shared" si="124"/>
        <v>1.5707963267948966</v>
      </c>
      <c r="AJ169" s="98" t="str">
        <f t="shared" si="110"/>
        <v>1+0.00442875010255134i</v>
      </c>
      <c r="AK169" s="98">
        <f t="shared" si="125"/>
        <v>1.0000098068656482</v>
      </c>
      <c r="AL169" s="98">
        <f t="shared" si="126"/>
        <v>4.4287211479786112E-3</v>
      </c>
      <c r="AM169" s="98" t="str">
        <f t="shared" si="111"/>
        <v>1+0.447303760357685i</v>
      </c>
      <c r="AN169" s="98">
        <f t="shared" si="127"/>
        <v>1.095481927751492</v>
      </c>
      <c r="AO169" s="98">
        <f t="shared" si="128"/>
        <v>0.42060947014054706</v>
      </c>
      <c r="AP169" s="168" t="str">
        <f t="shared" si="129"/>
        <v>-0.179318930931668+0.405699479444752i</v>
      </c>
      <c r="AQ169" s="98">
        <f t="shared" si="130"/>
        <v>-7.0609111594191978</v>
      </c>
      <c r="AR169" s="169">
        <f t="shared" si="131"/>
        <v>113.84540043186762</v>
      </c>
      <c r="AS169" s="168" t="e">
        <f t="shared" si="132"/>
        <v>#DIV/0!</v>
      </c>
      <c r="AT169" s="190" t="e">
        <f t="shared" si="133"/>
        <v>#DIV/0!</v>
      </c>
      <c r="AU169" s="169" t="e">
        <f t="shared" si="134"/>
        <v>#DIV/0!</v>
      </c>
      <c r="AV169" s="225"/>
      <c r="AX169" t="e">
        <f t="shared" si="135"/>
        <v>#DIV/0!</v>
      </c>
      <c r="AY169" t="e">
        <f t="shared" si="136"/>
        <v>#DIV/0!</v>
      </c>
    </row>
    <row r="170" spans="14:51" x14ac:dyDescent="0.25">
      <c r="N170" s="170">
        <v>52</v>
      </c>
      <c r="O170" s="199">
        <f t="shared" si="102"/>
        <v>331.13112148259137</v>
      </c>
      <c r="P170" s="189" t="str">
        <f t="shared" si="103"/>
        <v>290</v>
      </c>
      <c r="Q170" s="160" t="e">
        <f t="shared" si="104"/>
        <v>#DIV/0!</v>
      </c>
      <c r="R170" s="160" t="e">
        <f t="shared" si="112"/>
        <v>#DIV/0!</v>
      </c>
      <c r="S170" s="160" t="e">
        <f t="shared" si="113"/>
        <v>#DIV/0!</v>
      </c>
      <c r="T170" s="160" t="e">
        <f t="shared" si="105"/>
        <v>#DIV/0!</v>
      </c>
      <c r="U170" s="160" t="e">
        <f t="shared" si="114"/>
        <v>#DIV/0!</v>
      </c>
      <c r="V170" s="160" t="e">
        <f t="shared" si="115"/>
        <v>#DIV/0!</v>
      </c>
      <c r="W170" s="98" t="str">
        <f t="shared" si="106"/>
        <v>1-0.0165794481343306i</v>
      </c>
      <c r="X170" s="160">
        <f t="shared" si="116"/>
        <v>1.0001374296067711</v>
      </c>
      <c r="Y170" s="160">
        <f t="shared" si="117"/>
        <v>-1.6577929275753477E-2</v>
      </c>
      <c r="Z170" s="98" t="str">
        <f t="shared" si="107"/>
        <v>0.999997734549182+0.00196876847431429i</v>
      </c>
      <c r="AA170" s="160">
        <f t="shared" si="118"/>
        <v>0.99999967257634714</v>
      </c>
      <c r="AB170" s="160">
        <f t="shared" si="119"/>
        <v>1.9687703907799469E-3</v>
      </c>
      <c r="AC170" s="171" t="e">
        <f t="shared" si="120"/>
        <v>#DIV/0!</v>
      </c>
      <c r="AD170" s="190" t="e">
        <f t="shared" si="121"/>
        <v>#DIV/0!</v>
      </c>
      <c r="AE170" s="169" t="e">
        <f t="shared" si="122"/>
        <v>#DIV/0!</v>
      </c>
      <c r="AF170" s="98" t="str">
        <f t="shared" si="108"/>
        <v>-0.0000182926829268293</v>
      </c>
      <c r="AG170" s="98" t="str">
        <f t="shared" si="109"/>
        <v>0.0000462300031428798i</v>
      </c>
      <c r="AH170" s="98">
        <f t="shared" si="123"/>
        <v>4.6230003142879799E-5</v>
      </c>
      <c r="AI170" s="98">
        <f t="shared" si="124"/>
        <v>1.5707963267948966</v>
      </c>
      <c r="AJ170" s="98" t="str">
        <f t="shared" si="110"/>
        <v>1+0.00453190894450347i</v>
      </c>
      <c r="AK170" s="98">
        <f t="shared" si="125"/>
        <v>1.0000102690466139</v>
      </c>
      <c r="AL170" s="98">
        <f t="shared" si="126"/>
        <v>4.5318779191370227E-3</v>
      </c>
      <c r="AM170" s="98" t="str">
        <f t="shared" si="111"/>
        <v>1+0.45772280339485i</v>
      </c>
      <c r="AN170" s="98">
        <f t="shared" si="127"/>
        <v>1.0997773250743264</v>
      </c>
      <c r="AO170" s="98">
        <f t="shared" si="128"/>
        <v>0.42925762119794536</v>
      </c>
      <c r="AP170" s="168" t="str">
        <f t="shared" si="129"/>
        <v>-0.179318765177816+0.396501206677664i</v>
      </c>
      <c r="AQ170" s="98">
        <f t="shared" si="130"/>
        <v>-7.2269242958400159</v>
      </c>
      <c r="AR170" s="169">
        <f t="shared" si="131"/>
        <v>114.33499254043265</v>
      </c>
      <c r="AS170" s="168" t="e">
        <f t="shared" si="132"/>
        <v>#DIV/0!</v>
      </c>
      <c r="AT170" s="190" t="e">
        <f t="shared" si="133"/>
        <v>#DIV/0!</v>
      </c>
      <c r="AU170" s="169" t="e">
        <f t="shared" si="134"/>
        <v>#DIV/0!</v>
      </c>
      <c r="AV170" s="225"/>
      <c r="AX170" t="e">
        <f t="shared" si="135"/>
        <v>#DIV/0!</v>
      </c>
      <c r="AY170" t="e">
        <f t="shared" si="136"/>
        <v>#DIV/0!</v>
      </c>
    </row>
    <row r="171" spans="14:51" x14ac:dyDescent="0.25">
      <c r="N171" s="170">
        <v>53</v>
      </c>
      <c r="O171" s="199">
        <f t="shared" si="102"/>
        <v>338.84415613920277</v>
      </c>
      <c r="P171" s="189" t="str">
        <f t="shared" si="103"/>
        <v>290</v>
      </c>
      <c r="Q171" s="160" t="e">
        <f t="shared" si="104"/>
        <v>#DIV/0!</v>
      </c>
      <c r="R171" s="160" t="e">
        <f t="shared" si="112"/>
        <v>#DIV/0!</v>
      </c>
      <c r="S171" s="160" t="e">
        <f t="shared" si="113"/>
        <v>#DIV/0!</v>
      </c>
      <c r="T171" s="160" t="e">
        <f t="shared" si="105"/>
        <v>#DIV/0!</v>
      </c>
      <c r="U171" s="160" t="e">
        <f t="shared" si="114"/>
        <v>#DIV/0!</v>
      </c>
      <c r="V171" s="160" t="e">
        <f t="shared" si="115"/>
        <v>#DIV/0!</v>
      </c>
      <c r="W171" s="98" t="str">
        <f t="shared" si="106"/>
        <v>1-0.0169656330917426i</v>
      </c>
      <c r="X171" s="160">
        <f t="shared" si="116"/>
        <v>1.0001439059986337</v>
      </c>
      <c r="Y171" s="160">
        <f t="shared" si="117"/>
        <v>-1.6964005618102358E-2</v>
      </c>
      <c r="Z171" s="98" t="str">
        <f t="shared" si="107"/>
        <v>0.999997627781774+0.00201462698318908i</v>
      </c>
      <c r="AA171" s="160">
        <f t="shared" si="118"/>
        <v>0.99999965714546957</v>
      </c>
      <c r="AB171" s="160">
        <f t="shared" si="119"/>
        <v>2.0146290367189655E-3</v>
      </c>
      <c r="AC171" s="171" t="e">
        <f t="shared" si="120"/>
        <v>#DIV/0!</v>
      </c>
      <c r="AD171" s="190" t="e">
        <f t="shared" si="121"/>
        <v>#DIV/0!</v>
      </c>
      <c r="AE171" s="169" t="e">
        <f t="shared" si="122"/>
        <v>#DIV/0!</v>
      </c>
      <c r="AF171" s="98" t="str">
        <f t="shared" si="108"/>
        <v>-0.0000182926829268293</v>
      </c>
      <c r="AG171" s="98" t="str">
        <f t="shared" si="109"/>
        <v>0.0000473068382492262i</v>
      </c>
      <c r="AH171" s="98">
        <f t="shared" si="123"/>
        <v>4.73068382492262E-5</v>
      </c>
      <c r="AI171" s="98">
        <f t="shared" si="124"/>
        <v>1.5707963267948966</v>
      </c>
      <c r="AJ171" s="98" t="str">
        <f t="shared" si="110"/>
        <v>1+0.00463747066456485i</v>
      </c>
      <c r="AK171" s="98">
        <f t="shared" si="125"/>
        <v>1.0000107530092688</v>
      </c>
      <c r="AL171" s="98">
        <f t="shared" si="126"/>
        <v>4.6374374203050558E-3</v>
      </c>
      <c r="AM171" s="98" t="str">
        <f t="shared" si="111"/>
        <v>1+0.46838453712105i</v>
      </c>
      <c r="AN171" s="98">
        <f t="shared" si="127"/>
        <v>1.1042572501976613</v>
      </c>
      <c r="AO171" s="98">
        <f t="shared" si="128"/>
        <v>0.43803689088643871</v>
      </c>
      <c r="AP171" s="168" t="str">
        <f t="shared" si="129"/>
        <v>-0.179318591612552+0.387513164027849i</v>
      </c>
      <c r="AQ171" s="98">
        <f t="shared" si="130"/>
        <v>-7.3916185372183136</v>
      </c>
      <c r="AR171" s="169">
        <f t="shared" si="131"/>
        <v>114.83195952688597</v>
      </c>
      <c r="AS171" s="168" t="e">
        <f t="shared" si="132"/>
        <v>#DIV/0!</v>
      </c>
      <c r="AT171" s="190" t="e">
        <f t="shared" si="133"/>
        <v>#DIV/0!</v>
      </c>
      <c r="AU171" s="169" t="e">
        <f t="shared" si="134"/>
        <v>#DIV/0!</v>
      </c>
      <c r="AV171" s="225"/>
      <c r="AX171" t="e">
        <f t="shared" si="135"/>
        <v>#DIV/0!</v>
      </c>
      <c r="AY171" t="e">
        <f t="shared" si="136"/>
        <v>#DIV/0!</v>
      </c>
    </row>
    <row r="172" spans="14:51" x14ac:dyDescent="0.25">
      <c r="N172" s="170">
        <v>54</v>
      </c>
      <c r="O172" s="199">
        <f t="shared" si="102"/>
        <v>346.73685045253183</v>
      </c>
      <c r="P172" s="189" t="str">
        <f t="shared" si="103"/>
        <v>290</v>
      </c>
      <c r="Q172" s="160" t="e">
        <f t="shared" si="104"/>
        <v>#DIV/0!</v>
      </c>
      <c r="R172" s="160" t="e">
        <f t="shared" si="112"/>
        <v>#DIV/0!</v>
      </c>
      <c r="S172" s="160" t="e">
        <f t="shared" si="113"/>
        <v>#DIV/0!</v>
      </c>
      <c r="T172" s="160" t="e">
        <f t="shared" si="105"/>
        <v>#DIV/0!</v>
      </c>
      <c r="U172" s="160" t="e">
        <f t="shared" si="114"/>
        <v>#DIV/0!</v>
      </c>
      <c r="V172" s="160" t="e">
        <f t="shared" si="115"/>
        <v>#DIV/0!</v>
      </c>
      <c r="W172" s="98" t="str">
        <f t="shared" si="106"/>
        <v>1-0.0173608134523867i</v>
      </c>
      <c r="X172" s="160">
        <f t="shared" si="116"/>
        <v>1.0001506875684927</v>
      </c>
      <c r="Y172" s="160">
        <f t="shared" si="117"/>
        <v>-1.7359069597152388E-2</v>
      </c>
      <c r="Z172" s="98" t="str">
        <f t="shared" si="107"/>
        <v>0.999997515982573+0.00206155367395711i</v>
      </c>
      <c r="AA172" s="160">
        <f t="shared" si="118"/>
        <v>0.99999964098736904</v>
      </c>
      <c r="AB172" s="160">
        <f t="shared" si="119"/>
        <v>2.0615558743539552E-3</v>
      </c>
      <c r="AC172" s="171" t="e">
        <f t="shared" si="120"/>
        <v>#DIV/0!</v>
      </c>
      <c r="AD172" s="190" t="e">
        <f t="shared" si="121"/>
        <v>#DIV/0!</v>
      </c>
      <c r="AE172" s="169" t="e">
        <f t="shared" si="122"/>
        <v>#DIV/0!</v>
      </c>
      <c r="AF172" s="98" t="str">
        <f t="shared" si="108"/>
        <v>-0.0000182926829268293</v>
      </c>
      <c r="AG172" s="98" t="str">
        <f t="shared" si="109"/>
        <v>0.0000484087560673923i</v>
      </c>
      <c r="AH172" s="98">
        <f t="shared" si="123"/>
        <v>4.8408756067392302E-5</v>
      </c>
      <c r="AI172" s="98">
        <f t="shared" si="124"/>
        <v>1.5707963267948966</v>
      </c>
      <c r="AJ172" s="98" t="str">
        <f t="shared" si="110"/>
        <v>1+0.00474549123295679i</v>
      </c>
      <c r="AK172" s="98">
        <f t="shared" si="125"/>
        <v>1.0000112597801296</v>
      </c>
      <c r="AL172" s="98">
        <f t="shared" si="126"/>
        <v>4.7454556111122953E-3</v>
      </c>
      <c r="AM172" s="98" t="str">
        <f t="shared" si="111"/>
        <v>1+0.479294614528635i</v>
      </c>
      <c r="AN172" s="98">
        <f t="shared" si="127"/>
        <v>1.1089289100371371</v>
      </c>
      <c r="AO172" s="98">
        <f t="shared" si="128"/>
        <v>0.44694651973010258</v>
      </c>
      <c r="AP172" s="168" t="str">
        <f t="shared" si="129"/>
        <v>-0.17931840986777+0.378730585911059i</v>
      </c>
      <c r="AQ172" s="98">
        <f t="shared" si="130"/>
        <v>-7.5549540108550737</v>
      </c>
      <c r="AR172" s="169">
        <f t="shared" si="131"/>
        <v>115.33625467021203</v>
      </c>
      <c r="AS172" s="168" t="e">
        <f t="shared" si="132"/>
        <v>#DIV/0!</v>
      </c>
      <c r="AT172" s="190" t="e">
        <f t="shared" si="133"/>
        <v>#DIV/0!</v>
      </c>
      <c r="AU172" s="169" t="e">
        <f t="shared" si="134"/>
        <v>#DIV/0!</v>
      </c>
      <c r="AV172" s="225"/>
      <c r="AX172" t="e">
        <f t="shared" si="135"/>
        <v>#DIV/0!</v>
      </c>
      <c r="AY172" t="e">
        <f t="shared" si="136"/>
        <v>#DIV/0!</v>
      </c>
    </row>
    <row r="173" spans="14:51" x14ac:dyDescent="0.25">
      <c r="N173" s="170">
        <v>55</v>
      </c>
      <c r="O173" s="199">
        <f t="shared" si="102"/>
        <v>354.81338923357566</v>
      </c>
      <c r="P173" s="189" t="str">
        <f t="shared" si="103"/>
        <v>290</v>
      </c>
      <c r="Q173" s="160" t="e">
        <f t="shared" si="104"/>
        <v>#DIV/0!</v>
      </c>
      <c r="R173" s="160" t="e">
        <f t="shared" si="112"/>
        <v>#DIV/0!</v>
      </c>
      <c r="S173" s="160" t="e">
        <f t="shared" si="113"/>
        <v>#DIV/0!</v>
      </c>
      <c r="T173" s="160" t="e">
        <f t="shared" si="105"/>
        <v>#DIV/0!</v>
      </c>
      <c r="U173" s="160" t="e">
        <f t="shared" si="114"/>
        <v>#DIV/0!</v>
      </c>
      <c r="V173" s="160" t="e">
        <f t="shared" si="115"/>
        <v>#DIV/0!</v>
      </c>
      <c r="W173" s="98" t="str">
        <f t="shared" si="106"/>
        <v>1-0.0177651987461208i</v>
      </c>
      <c r="X173" s="160">
        <f t="shared" si="116"/>
        <v>1.0001577886946085</v>
      </c>
      <c r="Y173" s="160">
        <f t="shared" si="117"/>
        <v>-1.7763330187492796E-2</v>
      </c>
      <c r="Z173" s="98" t="str">
        <f t="shared" si="107"/>
        <v>0.999997398914438+0.00210957342777095i</v>
      </c>
      <c r="AA173" s="160">
        <f t="shared" si="118"/>
        <v>0.99999962406777376</v>
      </c>
      <c r="AB173" s="160">
        <f t="shared" si="119"/>
        <v>2.1095757855385693E-3</v>
      </c>
      <c r="AC173" s="171" t="e">
        <f t="shared" si="120"/>
        <v>#DIV/0!</v>
      </c>
      <c r="AD173" s="190" t="e">
        <f t="shared" si="121"/>
        <v>#DIV/0!</v>
      </c>
      <c r="AE173" s="169" t="e">
        <f t="shared" si="122"/>
        <v>#DIV/0!</v>
      </c>
      <c r="AF173" s="98" t="str">
        <f t="shared" si="108"/>
        <v>-0.0000182926829268293</v>
      </c>
      <c r="AG173" s="98" t="str">
        <f t="shared" si="109"/>
        <v>0.0000495363408487909i</v>
      </c>
      <c r="AH173" s="98">
        <f t="shared" si="123"/>
        <v>4.9536340848790898E-5</v>
      </c>
      <c r="AI173" s="98">
        <f t="shared" si="124"/>
        <v>1.5707963267948966</v>
      </c>
      <c r="AJ173" s="98" t="str">
        <f t="shared" si="110"/>
        <v>1+0.00485602792361443i</v>
      </c>
      <c r="AK173" s="98">
        <f t="shared" si="125"/>
        <v>1.0000117904340904</v>
      </c>
      <c r="AL173" s="98">
        <f t="shared" si="126"/>
        <v>4.8559897541446718E-3</v>
      </c>
      <c r="AM173" s="98" t="str">
        <f t="shared" si="111"/>
        <v>1+0.490458820285057i</v>
      </c>
      <c r="AN173" s="98">
        <f t="shared" si="127"/>
        <v>1.1137997371140873</v>
      </c>
      <c r="AO173" s="98">
        <f t="shared" si="128"/>
        <v>0.45598557265169098</v>
      </c>
      <c r="AP173" s="168" t="str">
        <f t="shared" si="129"/>
        <v>-0.179318219558016+0.370148815682699i</v>
      </c>
      <c r="AQ173" s="98">
        <f t="shared" si="130"/>
        <v>-7.7168905146479485</v>
      </c>
      <c r="AR173" s="169">
        <f t="shared" si="131"/>
        <v>115.84782111352659</v>
      </c>
      <c r="AS173" s="168" t="e">
        <f t="shared" si="132"/>
        <v>#DIV/0!</v>
      </c>
      <c r="AT173" s="190" t="e">
        <f t="shared" si="133"/>
        <v>#DIV/0!</v>
      </c>
      <c r="AU173" s="169" t="e">
        <f t="shared" si="134"/>
        <v>#DIV/0!</v>
      </c>
      <c r="AV173" s="225"/>
      <c r="AX173" t="e">
        <f t="shared" si="135"/>
        <v>#DIV/0!</v>
      </c>
      <c r="AY173" t="e">
        <f t="shared" si="136"/>
        <v>#DIV/0!</v>
      </c>
    </row>
    <row r="174" spans="14:51" x14ac:dyDescent="0.25">
      <c r="N174" s="170">
        <v>56</v>
      </c>
      <c r="O174" s="199">
        <f t="shared" si="102"/>
        <v>363.07805477010152</v>
      </c>
      <c r="P174" s="189" t="str">
        <f t="shared" si="103"/>
        <v>290</v>
      </c>
      <c r="Q174" s="160" t="e">
        <f t="shared" si="104"/>
        <v>#DIV/0!</v>
      </c>
      <c r="R174" s="160" t="e">
        <f t="shared" si="112"/>
        <v>#DIV/0!</v>
      </c>
      <c r="S174" s="160" t="e">
        <f t="shared" si="113"/>
        <v>#DIV/0!</v>
      </c>
      <c r="T174" s="160" t="e">
        <f t="shared" si="105"/>
        <v>#DIV/0!</v>
      </c>
      <c r="U174" s="160" t="e">
        <f t="shared" si="114"/>
        <v>#DIV/0!</v>
      </c>
      <c r="V174" s="160" t="e">
        <f t="shared" si="115"/>
        <v>#DIV/0!</v>
      </c>
      <c r="W174" s="98" t="str">
        <f t="shared" si="106"/>
        <v>1-0.0181790033833803i</v>
      </c>
      <c r="X174" s="160">
        <f t="shared" si="116"/>
        <v>1.0001652244324499</v>
      </c>
      <c r="Y174" s="160">
        <f t="shared" si="117"/>
        <v>-1.8177001204600817E-2</v>
      </c>
      <c r="Z174" s="98" t="str">
        <f t="shared" si="107"/>
        <v>0.999997276329053+0.00215871170533971i</v>
      </c>
      <c r="AA174" s="160">
        <f t="shared" si="118"/>
        <v>0.9999996063507981</v>
      </c>
      <c r="AB174" s="160">
        <f t="shared" si="119"/>
        <v>2.1587142317331387E-3</v>
      </c>
      <c r="AC174" s="171" t="e">
        <f t="shared" si="120"/>
        <v>#DIV/0!</v>
      </c>
      <c r="AD174" s="190" t="e">
        <f t="shared" si="121"/>
        <v>#DIV/0!</v>
      </c>
      <c r="AE174" s="169" t="e">
        <f t="shared" si="122"/>
        <v>#DIV/0!</v>
      </c>
      <c r="AF174" s="98" t="str">
        <f t="shared" si="108"/>
        <v>-0.0000182926829268293</v>
      </c>
      <c r="AG174" s="98" t="str">
        <f t="shared" si="109"/>
        <v>0.0000506901904537986i</v>
      </c>
      <c r="AH174" s="98">
        <f t="shared" si="123"/>
        <v>5.0690190453798597E-5</v>
      </c>
      <c r="AI174" s="98">
        <f t="shared" si="124"/>
        <v>1.5707963267948966</v>
      </c>
      <c r="AJ174" s="98" t="str">
        <f t="shared" si="110"/>
        <v>1+0.00496913934455433i</v>
      </c>
      <c r="AK174" s="98">
        <f t="shared" si="125"/>
        <v>1.0000123460966996</v>
      </c>
      <c r="AL174" s="98">
        <f t="shared" si="126"/>
        <v>4.9690984452578843E-3</v>
      </c>
      <c r="AM174" s="98" t="str">
        <f t="shared" si="111"/>
        <v>1+0.501883073799987i</v>
      </c>
      <c r="AN174" s="98">
        <f t="shared" si="127"/>
        <v>1.1188773926426985</v>
      </c>
      <c r="AO174" s="98">
        <f t="shared" si="128"/>
        <v>0.46515293304840677</v>
      </c>
      <c r="AP174" s="168" t="str">
        <f t="shared" si="129"/>
        <v>-0.179318020279673+0.361763303168783i</v>
      </c>
      <c r="AQ174" s="98">
        <f t="shared" si="130"/>
        <v>-7.8773875850627997</v>
      </c>
      <c r="AR174" s="169">
        <f t="shared" si="131"/>
        <v>116.36659152290672</v>
      </c>
      <c r="AS174" s="168" t="e">
        <f t="shared" si="132"/>
        <v>#DIV/0!</v>
      </c>
      <c r="AT174" s="190" t="e">
        <f t="shared" si="133"/>
        <v>#DIV/0!</v>
      </c>
      <c r="AU174" s="169" t="e">
        <f t="shared" si="134"/>
        <v>#DIV/0!</v>
      </c>
      <c r="AV174" s="225"/>
      <c r="AX174" t="e">
        <f t="shared" si="135"/>
        <v>#DIV/0!</v>
      </c>
      <c r="AY174" t="e">
        <f t="shared" si="136"/>
        <v>#DIV/0!</v>
      </c>
    </row>
    <row r="175" spans="14:51" x14ac:dyDescent="0.25">
      <c r="N175" s="170">
        <v>57</v>
      </c>
      <c r="O175" s="199">
        <f t="shared" si="102"/>
        <v>371.53522909717265</v>
      </c>
      <c r="P175" s="189" t="str">
        <f t="shared" si="103"/>
        <v>290</v>
      </c>
      <c r="Q175" s="160" t="e">
        <f t="shared" si="104"/>
        <v>#DIV/0!</v>
      </c>
      <c r="R175" s="160" t="e">
        <f t="shared" si="112"/>
        <v>#DIV/0!</v>
      </c>
      <c r="S175" s="160" t="e">
        <f t="shared" si="113"/>
        <v>#DIV/0!</v>
      </c>
      <c r="T175" s="160" t="e">
        <f t="shared" si="105"/>
        <v>#DIV/0!</v>
      </c>
      <c r="U175" s="160" t="e">
        <f t="shared" si="114"/>
        <v>#DIV/0!</v>
      </c>
      <c r="V175" s="160" t="e">
        <f t="shared" si="115"/>
        <v>#DIV/0!</v>
      </c>
      <c r="W175" s="98" t="str">
        <f t="shared" si="106"/>
        <v>1-0.0186024467688611i</v>
      </c>
      <c r="X175" s="160">
        <f t="shared" si="116"/>
        <v>1.0001730105465696</v>
      </c>
      <c r="Y175" s="160">
        <f t="shared" si="117"/>
        <v>-1.8600301415688976E-2</v>
      </c>
      <c r="Z175" s="98" t="str">
        <f t="shared" si="107"/>
        <v>0.999997147966395+0.00220899456042856i</v>
      </c>
      <c r="AA175" s="160">
        <f t="shared" si="118"/>
        <v>0.999999587798861</v>
      </c>
      <c r="AB175" s="160">
        <f t="shared" si="119"/>
        <v>2.2089972675077918E-3</v>
      </c>
      <c r="AC175" s="171" t="e">
        <f t="shared" si="120"/>
        <v>#DIV/0!</v>
      </c>
      <c r="AD175" s="190" t="e">
        <f t="shared" si="121"/>
        <v>#DIV/0!</v>
      </c>
      <c r="AE175" s="169" t="e">
        <f t="shared" si="122"/>
        <v>#DIV/0!</v>
      </c>
      <c r="AF175" s="98" t="str">
        <f t="shared" si="108"/>
        <v>-0.0000182926829268293</v>
      </c>
      <c r="AG175" s="98" t="str">
        <f t="shared" si="109"/>
        <v>0.0000518709166687489i</v>
      </c>
      <c r="AH175" s="98">
        <f t="shared" si="123"/>
        <v>5.1870916668748899E-5</v>
      </c>
      <c r="AI175" s="98">
        <f t="shared" si="124"/>
        <v>1.5707963267948966</v>
      </c>
      <c r="AJ175" s="98" t="str">
        <f t="shared" si="110"/>
        <v>1+0.00508488546894902i</v>
      </c>
      <c r="AK175" s="98">
        <f t="shared" si="125"/>
        <v>1.0000129279465504</v>
      </c>
      <c r="AL175" s="98">
        <f t="shared" si="126"/>
        <v>5.0848416445939066E-3</v>
      </c>
      <c r="AM175" s="98" t="str">
        <f t="shared" si="111"/>
        <v>1+0.513573432363851i</v>
      </c>
      <c r="AN175" s="98">
        <f t="shared" si="127"/>
        <v>1.1241697693987269</v>
      </c>
      <c r="AO175" s="98">
        <f t="shared" si="128"/>
        <v>0.47444729719006695</v>
      </c>
      <c r="AP175" s="168" t="str">
        <f t="shared" si="129"/>
        <v>-0.179317811610104+0.353569602253349i</v>
      </c>
      <c r="AQ175" s="98">
        <f t="shared" si="130"/>
        <v>-8.0364045700555096</v>
      </c>
      <c r="AR175" s="169">
        <f t="shared" si="131"/>
        <v>116.89248776465232</v>
      </c>
      <c r="AS175" s="168" t="e">
        <f t="shared" si="132"/>
        <v>#DIV/0!</v>
      </c>
      <c r="AT175" s="190" t="e">
        <f t="shared" si="133"/>
        <v>#DIV/0!</v>
      </c>
      <c r="AU175" s="169" t="e">
        <f t="shared" si="134"/>
        <v>#DIV/0!</v>
      </c>
      <c r="AV175" s="225"/>
      <c r="AX175" t="e">
        <f t="shared" si="135"/>
        <v>#DIV/0!</v>
      </c>
      <c r="AY175" t="e">
        <f t="shared" si="136"/>
        <v>#DIV/0!</v>
      </c>
    </row>
    <row r="176" spans="14:51" x14ac:dyDescent="0.25">
      <c r="N176" s="170">
        <v>58</v>
      </c>
      <c r="O176" s="199">
        <f t="shared" si="102"/>
        <v>380.18939632056163</v>
      </c>
      <c r="P176" s="189" t="str">
        <f t="shared" si="103"/>
        <v>290</v>
      </c>
      <c r="Q176" s="160" t="e">
        <f t="shared" si="104"/>
        <v>#DIV/0!</v>
      </c>
      <c r="R176" s="160" t="e">
        <f t="shared" si="112"/>
        <v>#DIV/0!</v>
      </c>
      <c r="S176" s="160" t="e">
        <f t="shared" si="113"/>
        <v>#DIV/0!</v>
      </c>
      <c r="T176" s="160" t="e">
        <f t="shared" si="105"/>
        <v>#DIV/0!</v>
      </c>
      <c r="U176" s="160" t="e">
        <f t="shared" si="114"/>
        <v>#DIV/0!</v>
      </c>
      <c r="V176" s="160" t="e">
        <f t="shared" si="115"/>
        <v>#DIV/0!</v>
      </c>
      <c r="W176" s="98" t="str">
        <f t="shared" si="106"/>
        <v>1-0.0190357534178514i</v>
      </c>
      <c r="X176" s="160">
        <f t="shared" si="116"/>
        <v>1.0001811635439777</v>
      </c>
      <c r="Y176" s="160">
        <f t="shared" si="117"/>
        <v>-1.9033454652998594E-2</v>
      </c>
      <c r="Z176" s="98" t="str">
        <f t="shared" si="107"/>
        <v>0.999997013554193+0.00226044865367285i</v>
      </c>
      <c r="AA176" s="160">
        <f t="shared" si="118"/>
        <v>0.99999956837261716</v>
      </c>
      <c r="AB176" s="160">
        <f t="shared" si="119"/>
        <v>2.2604515543603924E-3</v>
      </c>
      <c r="AC176" s="171" t="e">
        <f t="shared" si="120"/>
        <v>#DIV/0!</v>
      </c>
      <c r="AD176" s="190" t="e">
        <f t="shared" si="121"/>
        <v>#DIV/0!</v>
      </c>
      <c r="AE176" s="169" t="e">
        <f t="shared" si="122"/>
        <v>#DIV/0!</v>
      </c>
      <c r="AF176" s="98" t="str">
        <f t="shared" si="108"/>
        <v>-0.0000182926829268293</v>
      </c>
      <c r="AG176" s="98" t="str">
        <f t="shared" si="109"/>
        <v>0.0000530791455303098i</v>
      </c>
      <c r="AH176" s="98">
        <f t="shared" si="123"/>
        <v>5.3079145530309799E-5</v>
      </c>
      <c r="AI176" s="98">
        <f t="shared" si="124"/>
        <v>1.5707963267948966</v>
      </c>
      <c r="AJ176" s="98" t="str">
        <f t="shared" si="110"/>
        <v>1+0.00520332766692577i</v>
      </c>
      <c r="AK176" s="98">
        <f t="shared" si="125"/>
        <v>1.0000135372177765</v>
      </c>
      <c r="AL176" s="98">
        <f t="shared" si="126"/>
        <v>5.2032807083175585E-3</v>
      </c>
      <c r="AM176" s="98" t="str">
        <f t="shared" si="111"/>
        <v>1+0.525536094359502i</v>
      </c>
      <c r="AN176" s="98">
        <f t="shared" si="127"/>
        <v>1.1296849943566745</v>
      </c>
      <c r="AO176" s="98">
        <f t="shared" si="128"/>
        <v>0.48386716899259941</v>
      </c>
      <c r="AP176" s="168" t="str">
        <f t="shared" si="129"/>
        <v>-0.179317593106762+0.345563368521043i</v>
      </c>
      <c r="AQ176" s="98">
        <f t="shared" si="130"/>
        <v>-8.1939007068881367</v>
      </c>
      <c r="AR176" s="169">
        <f t="shared" si="131"/>
        <v>117.42542060401075</v>
      </c>
      <c r="AS176" s="168" t="e">
        <f t="shared" si="132"/>
        <v>#DIV/0!</v>
      </c>
      <c r="AT176" s="190" t="e">
        <f t="shared" si="133"/>
        <v>#DIV/0!</v>
      </c>
      <c r="AU176" s="169" t="e">
        <f t="shared" si="134"/>
        <v>#DIV/0!</v>
      </c>
      <c r="AV176" s="225"/>
      <c r="AX176" t="e">
        <f t="shared" si="135"/>
        <v>#DIV/0!</v>
      </c>
      <c r="AY176" t="e">
        <f t="shared" si="136"/>
        <v>#DIV/0!</v>
      </c>
    </row>
    <row r="177" spans="14:51" x14ac:dyDescent="0.25">
      <c r="N177" s="170">
        <v>59</v>
      </c>
      <c r="O177" s="199">
        <f t="shared" si="102"/>
        <v>389.04514499428063</v>
      </c>
      <c r="P177" s="189" t="str">
        <f t="shared" si="103"/>
        <v>290</v>
      </c>
      <c r="Q177" s="160" t="e">
        <f t="shared" si="104"/>
        <v>#DIV/0!</v>
      </c>
      <c r="R177" s="160" t="e">
        <f t="shared" si="112"/>
        <v>#DIV/0!</v>
      </c>
      <c r="S177" s="160" t="e">
        <f t="shared" si="113"/>
        <v>#DIV/0!</v>
      </c>
      <c r="T177" s="160" t="e">
        <f t="shared" si="105"/>
        <v>#DIV/0!</v>
      </c>
      <c r="U177" s="160" t="e">
        <f t="shared" si="114"/>
        <v>#DIV/0!</v>
      </c>
      <c r="V177" s="160" t="e">
        <f t="shared" si="115"/>
        <v>#DIV/0!</v>
      </c>
      <c r="W177" s="98" t="str">
        <f t="shared" si="106"/>
        <v>1-0.0194791530752717i</v>
      </c>
      <c r="X177" s="160">
        <f t="shared" si="116"/>
        <v>1.0001897007090854</v>
      </c>
      <c r="Y177" s="160">
        <f t="shared" si="117"/>
        <v>-1.9476689929584713E-2</v>
      </c>
      <c r="Z177" s="98" t="str">
        <f t="shared" si="107"/>
        <v>0.999996872807338+0.00231310126671389i</v>
      </c>
      <c r="AA177" s="160">
        <f t="shared" si="118"/>
        <v>0.99999954803086044</v>
      </c>
      <c r="AB177" s="160">
        <f t="shared" si="119"/>
        <v>2.313104374856463E-3</v>
      </c>
      <c r="AC177" s="171" t="e">
        <f t="shared" si="120"/>
        <v>#DIV/0!</v>
      </c>
      <c r="AD177" s="190" t="e">
        <f t="shared" si="121"/>
        <v>#DIV/0!</v>
      </c>
      <c r="AE177" s="169" t="e">
        <f t="shared" si="122"/>
        <v>#DIV/0!</v>
      </c>
      <c r="AF177" s="98" t="str">
        <f t="shared" si="108"/>
        <v>-0.0000182926829268293</v>
      </c>
      <c r="AG177" s="98" t="str">
        <f t="shared" si="109"/>
        <v>0.0000543155176574162i</v>
      </c>
      <c r="AH177" s="98">
        <f t="shared" si="123"/>
        <v>5.4315517657416198E-5</v>
      </c>
      <c r="AI177" s="98">
        <f t="shared" si="124"/>
        <v>1.5707963267948966</v>
      </c>
      <c r="AJ177" s="98" t="str">
        <f t="shared" si="110"/>
        <v>1+0.00532452873810571i</v>
      </c>
      <c r="AK177" s="98">
        <f t="shared" si="125"/>
        <v>1.0000141752026732</v>
      </c>
      <c r="AL177" s="98">
        <f t="shared" si="126"/>
        <v>5.3244784210889854E-3</v>
      </c>
      <c r="AM177" s="98" t="str">
        <f t="shared" si="111"/>
        <v>1+0.537777402548676i</v>
      </c>
      <c r="AN177" s="98">
        <f t="shared" si="127"/>
        <v>1.1354314310833573</v>
      </c>
      <c r="AO177" s="98">
        <f t="shared" si="128"/>
        <v>0.49341085522103512</v>
      </c>
      <c r="AP177" s="168" t="str">
        <f t="shared" si="129"/>
        <v>-0.179317364306247+0.337740356953607i</v>
      </c>
      <c r="AQ177" s="98">
        <f t="shared" si="130"/>
        <v>-8.3498352047412698</v>
      </c>
      <c r="AR177" s="169">
        <f t="shared" si="131"/>
        <v>117.96528942846892</v>
      </c>
      <c r="AS177" s="168" t="e">
        <f t="shared" si="132"/>
        <v>#DIV/0!</v>
      </c>
      <c r="AT177" s="190" t="e">
        <f t="shared" si="133"/>
        <v>#DIV/0!</v>
      </c>
      <c r="AU177" s="169" t="e">
        <f t="shared" si="134"/>
        <v>#DIV/0!</v>
      </c>
      <c r="AV177" s="225"/>
      <c r="AX177" t="e">
        <f t="shared" si="135"/>
        <v>#DIV/0!</v>
      </c>
      <c r="AY177" t="e">
        <f t="shared" si="136"/>
        <v>#DIV/0!</v>
      </c>
    </row>
    <row r="178" spans="14:51" x14ac:dyDescent="0.25">
      <c r="N178" s="170">
        <v>60</v>
      </c>
      <c r="O178" s="199">
        <f t="shared" si="102"/>
        <v>398.10717055349761</v>
      </c>
      <c r="P178" s="189" t="str">
        <f t="shared" si="103"/>
        <v>290</v>
      </c>
      <c r="Q178" s="160" t="e">
        <f t="shared" si="104"/>
        <v>#DIV/0!</v>
      </c>
      <c r="R178" s="160" t="e">
        <f t="shared" si="112"/>
        <v>#DIV/0!</v>
      </c>
      <c r="S178" s="160" t="e">
        <f t="shared" si="113"/>
        <v>#DIV/0!</v>
      </c>
      <c r="T178" s="160" t="e">
        <f t="shared" si="105"/>
        <v>#DIV/0!</v>
      </c>
      <c r="U178" s="160" t="e">
        <f t="shared" si="114"/>
        <v>#DIV/0!</v>
      </c>
      <c r="V178" s="160" t="e">
        <f t="shared" si="115"/>
        <v>#DIV/0!</v>
      </c>
      <c r="W178" s="98" t="str">
        <f t="shared" si="106"/>
        <v>1-0.0199328808374896i</v>
      </c>
      <c r="X178" s="160">
        <f t="shared" si="116"/>
        <v>1.000198640140288</v>
      </c>
      <c r="Y178" s="160">
        <f t="shared" si="117"/>
        <v>-1.9930241557643311E-2</v>
      </c>
      <c r="Z178" s="98" t="str">
        <f t="shared" si="107"/>
        <v>0.999996725427288+0.00236698031666406i</v>
      </c>
      <c r="AA178" s="160">
        <f t="shared" si="118"/>
        <v>0.99999952673044723</v>
      </c>
      <c r="AB178" s="160">
        <f t="shared" si="119"/>
        <v>2.3669836470986876E-3</v>
      </c>
      <c r="AC178" s="171" t="e">
        <f t="shared" si="120"/>
        <v>#DIV/0!</v>
      </c>
      <c r="AD178" s="190" t="e">
        <f t="shared" si="121"/>
        <v>#DIV/0!</v>
      </c>
      <c r="AE178" s="169" t="e">
        <f t="shared" si="122"/>
        <v>#DIV/0!</v>
      </c>
      <c r="AF178" s="98" t="str">
        <f t="shared" si="108"/>
        <v>-0.0000182926829268293</v>
      </c>
      <c r="AG178" s="98" t="str">
        <f t="shared" si="109"/>
        <v>0.0000555806885909356i</v>
      </c>
      <c r="AH178" s="98">
        <f t="shared" si="123"/>
        <v>5.55806885909356E-5</v>
      </c>
      <c r="AI178" s="98">
        <f t="shared" si="124"/>
        <v>1.5707963267948966</v>
      </c>
      <c r="AJ178" s="98" t="str">
        <f t="shared" si="110"/>
        <v>1+0.00544855294490105i</v>
      </c>
      <c r="AK178" s="98">
        <f t="shared" si="125"/>
        <v>1.0000148432544356</v>
      </c>
      <c r="AL178" s="98">
        <f t="shared" si="126"/>
        <v>5.44849902928947E-3</v>
      </c>
      <c r="AM178" s="98" t="str">
        <f t="shared" si="111"/>
        <v>1+0.550303847435005i</v>
      </c>
      <c r="AN178" s="98">
        <f t="shared" si="127"/>
        <v>1.1414176818771335</v>
      </c>
      <c r="AO178" s="98">
        <f t="shared" si="128"/>
        <v>0.50307646117709326</v>
      </c>
      <c r="AP178" s="168" t="str">
        <f t="shared" si="129"/>
        <v>-0.17931712472332+0.330096419679094i</v>
      </c>
      <c r="AQ178" s="98">
        <f t="shared" si="130"/>
        <v>-8.5041673319776727</v>
      </c>
      <c r="AR178" s="169">
        <f t="shared" si="131"/>
        <v>118.51198199876498</v>
      </c>
      <c r="AS178" s="168" t="e">
        <f t="shared" si="132"/>
        <v>#DIV/0!</v>
      </c>
      <c r="AT178" s="190" t="e">
        <f t="shared" si="133"/>
        <v>#DIV/0!</v>
      </c>
      <c r="AU178" s="169" t="e">
        <f t="shared" si="134"/>
        <v>#DIV/0!</v>
      </c>
      <c r="AV178" s="225"/>
      <c r="AX178" t="e">
        <f t="shared" si="135"/>
        <v>#DIV/0!</v>
      </c>
      <c r="AY178" t="e">
        <f t="shared" si="136"/>
        <v>#DIV/0!</v>
      </c>
    </row>
    <row r="179" spans="14:51" x14ac:dyDescent="0.25">
      <c r="N179" s="170">
        <v>61</v>
      </c>
      <c r="O179" s="199">
        <f t="shared" si="102"/>
        <v>407.38027780411272</v>
      </c>
      <c r="P179" s="189" t="str">
        <f t="shared" si="103"/>
        <v>290</v>
      </c>
      <c r="Q179" s="160" t="e">
        <f t="shared" si="104"/>
        <v>#DIV/0!</v>
      </c>
      <c r="R179" s="160" t="e">
        <f t="shared" si="112"/>
        <v>#DIV/0!</v>
      </c>
      <c r="S179" s="160" t="e">
        <f t="shared" si="113"/>
        <v>#DIV/0!</v>
      </c>
      <c r="T179" s="160" t="e">
        <f t="shared" si="105"/>
        <v>#DIV/0!</v>
      </c>
      <c r="U179" s="160" t="e">
        <f t="shared" si="114"/>
        <v>#DIV/0!</v>
      </c>
      <c r="V179" s="160" t="e">
        <f t="shared" si="115"/>
        <v>#DIV/0!</v>
      </c>
      <c r="W179" s="98" t="str">
        <f t="shared" si="106"/>
        <v>1-0.0203971772769705i</v>
      </c>
      <c r="X179" s="160">
        <f t="shared" si="116"/>
        <v>1.0002080007882701</v>
      </c>
      <c r="Y179" s="160">
        <f t="shared" si="117"/>
        <v>-2.0394349269425592E-2</v>
      </c>
      <c r="Z179" s="98" t="str">
        <f t="shared" si="107"/>
        <v>0.999996571101431+0.00242211437090881i</v>
      </c>
      <c r="AA179" s="160">
        <f t="shared" si="118"/>
        <v>0.99999950442619978</v>
      </c>
      <c r="AB179" s="160">
        <f t="shared" si="119"/>
        <v>2.4221179395336467E-3</v>
      </c>
      <c r="AC179" s="171" t="e">
        <f t="shared" si="120"/>
        <v>#DIV/0!</v>
      </c>
      <c r="AD179" s="190" t="e">
        <f t="shared" si="121"/>
        <v>#DIV/0!</v>
      </c>
      <c r="AE179" s="169" t="e">
        <f t="shared" si="122"/>
        <v>#DIV/0!</v>
      </c>
      <c r="AF179" s="98" t="str">
        <f t="shared" si="108"/>
        <v>-0.0000182926829268293</v>
      </c>
      <c r="AG179" s="98" t="str">
        <f t="shared" si="109"/>
        <v>0.0000568753291412432i</v>
      </c>
      <c r="AH179" s="98">
        <f t="shared" si="123"/>
        <v>5.6875329141243198E-5</v>
      </c>
      <c r="AI179" s="98">
        <f t="shared" si="124"/>
        <v>1.5707963267948966</v>
      </c>
      <c r="AJ179" s="98" t="str">
        <f t="shared" si="110"/>
        <v>1+0.00557546604658791i</v>
      </c>
      <c r="AK179" s="98">
        <f t="shared" si="125"/>
        <v>1.000015542790029</v>
      </c>
      <c r="AL179" s="98">
        <f t="shared" si="126"/>
        <v>5.5754082750177434E-3</v>
      </c>
      <c r="AM179" s="98" t="str">
        <f t="shared" si="111"/>
        <v>1+0.563122070705378i</v>
      </c>
      <c r="AN179" s="98">
        <f t="shared" si="127"/>
        <v>1.1476525896435352</v>
      </c>
      <c r="AO179" s="98">
        <f t="shared" si="128"/>
        <v>0.51286188692679724</v>
      </c>
      <c r="AP179" s="168" t="str">
        <f t="shared" si="129"/>
        <v>-0.179316873849885+0.322627503772566i</v>
      </c>
      <c r="AQ179" s="98">
        <f t="shared" si="130"/>
        <v>-8.6568565078661628</v>
      </c>
      <c r="AR179" s="169">
        <f t="shared" si="131"/>
        <v>119.06537423080039</v>
      </c>
      <c r="AS179" s="168" t="e">
        <f t="shared" si="132"/>
        <v>#DIV/0!</v>
      </c>
      <c r="AT179" s="190" t="e">
        <f t="shared" si="133"/>
        <v>#DIV/0!</v>
      </c>
      <c r="AU179" s="169" t="e">
        <f t="shared" si="134"/>
        <v>#DIV/0!</v>
      </c>
      <c r="AV179" s="225"/>
      <c r="AX179" t="e">
        <f t="shared" si="135"/>
        <v>#DIV/0!</v>
      </c>
      <c r="AY179" t="e">
        <f t="shared" si="136"/>
        <v>#DIV/0!</v>
      </c>
    </row>
    <row r="180" spans="14:51" x14ac:dyDescent="0.25">
      <c r="N180" s="170">
        <v>62</v>
      </c>
      <c r="O180" s="199">
        <f t="shared" si="102"/>
        <v>416.86938347033572</v>
      </c>
      <c r="P180" s="189" t="str">
        <f t="shared" si="103"/>
        <v>290</v>
      </c>
      <c r="Q180" s="160" t="e">
        <f t="shared" si="104"/>
        <v>#DIV/0!</v>
      </c>
      <c r="R180" s="160" t="e">
        <f t="shared" si="112"/>
        <v>#DIV/0!</v>
      </c>
      <c r="S180" s="160" t="e">
        <f t="shared" si="113"/>
        <v>#DIV/0!</v>
      </c>
      <c r="T180" s="160" t="e">
        <f t="shared" si="105"/>
        <v>#DIV/0!</v>
      </c>
      <c r="U180" s="160" t="e">
        <f t="shared" si="114"/>
        <v>#DIV/0!</v>
      </c>
      <c r="V180" s="160" t="e">
        <f t="shared" si="115"/>
        <v>#DIV/0!</v>
      </c>
      <c r="W180" s="98" t="str">
        <f t="shared" si="106"/>
        <v>1-0.0208722885698321i</v>
      </c>
      <c r="X180" s="160">
        <f t="shared" si="116"/>
        <v>1.0002178024961075</v>
      </c>
      <c r="Y180" s="160">
        <f t="shared" si="117"/>
        <v>-2.0869258340789301E-2</v>
      </c>
      <c r="Z180" s="98" t="str">
        <f t="shared" si="107"/>
        <v>0.99999640950242+0.0024785326622535i</v>
      </c>
      <c r="AA180" s="160">
        <f t="shared" si="118"/>
        <v>0.99999948107081005</v>
      </c>
      <c r="AB180" s="160">
        <f t="shared" si="119"/>
        <v>2.4785364861037253E-3</v>
      </c>
      <c r="AC180" s="171" t="e">
        <f t="shared" si="120"/>
        <v>#DIV/0!</v>
      </c>
      <c r="AD180" s="190" t="e">
        <f t="shared" si="121"/>
        <v>#DIV/0!</v>
      </c>
      <c r="AE180" s="169" t="e">
        <f t="shared" si="122"/>
        <v>#DIV/0!</v>
      </c>
      <c r="AF180" s="98" t="str">
        <f t="shared" si="108"/>
        <v>-0.0000182926829268293</v>
      </c>
      <c r="AG180" s="98" t="str">
        <f t="shared" si="109"/>
        <v>0.0000582001257438956i</v>
      </c>
      <c r="AH180" s="98">
        <f t="shared" si="123"/>
        <v>5.82001257438956E-5</v>
      </c>
      <c r="AI180" s="98">
        <f t="shared" si="124"/>
        <v>1.5707963267948966</v>
      </c>
      <c r="AJ180" s="98" t="str">
        <f t="shared" si="110"/>
        <v>1+0.0057053353341727i</v>
      </c>
      <c r="AK180" s="98">
        <f t="shared" si="125"/>
        <v>1.0000162752931951</v>
      </c>
      <c r="AL180" s="98">
        <f t="shared" si="126"/>
        <v>5.7052734308743851E-3</v>
      </c>
      <c r="AM180" s="98" t="str">
        <f t="shared" si="111"/>
        <v>1+0.576238868751442i</v>
      </c>
      <c r="AN180" s="98">
        <f t="shared" si="127"/>
        <v>1.1541452394997527</v>
      </c>
      <c r="AO180" s="98">
        <f t="shared" si="128"/>
        <v>0.52276482412332903</v>
      </c>
      <c r="AP180" s="168" t="str">
        <f t="shared" si="129"/>
        <v>-0.179316611153901+0.315329649107148i</v>
      </c>
      <c r="AQ180" s="98">
        <f t="shared" si="130"/>
        <v>-8.8078623985235041</v>
      </c>
      <c r="AR180" s="169">
        <f t="shared" si="131"/>
        <v>119.62533001160831</v>
      </c>
      <c r="AS180" s="168" t="e">
        <f t="shared" si="132"/>
        <v>#DIV/0!</v>
      </c>
      <c r="AT180" s="190" t="e">
        <f t="shared" si="133"/>
        <v>#DIV/0!</v>
      </c>
      <c r="AU180" s="169" t="e">
        <f t="shared" si="134"/>
        <v>#DIV/0!</v>
      </c>
      <c r="AV180" s="225"/>
      <c r="AX180" t="e">
        <f t="shared" si="135"/>
        <v>#DIV/0!</v>
      </c>
      <c r="AY180" t="e">
        <f t="shared" si="136"/>
        <v>#DIV/0!</v>
      </c>
    </row>
    <row r="181" spans="14:51" x14ac:dyDescent="0.25">
      <c r="N181" s="170">
        <v>63</v>
      </c>
      <c r="O181" s="199">
        <f t="shared" si="102"/>
        <v>426.57951880159294</v>
      </c>
      <c r="P181" s="189" t="str">
        <f t="shared" si="103"/>
        <v>290</v>
      </c>
      <c r="Q181" s="160" t="e">
        <f t="shared" si="104"/>
        <v>#DIV/0!</v>
      </c>
      <c r="R181" s="160" t="e">
        <f t="shared" si="112"/>
        <v>#DIV/0!</v>
      </c>
      <c r="S181" s="160" t="e">
        <f t="shared" si="113"/>
        <v>#DIV/0!</v>
      </c>
      <c r="T181" s="160" t="e">
        <f t="shared" si="105"/>
        <v>#DIV/0!</v>
      </c>
      <c r="U181" s="160" t="e">
        <f t="shared" si="114"/>
        <v>#DIV/0!</v>
      </c>
      <c r="V181" s="160" t="e">
        <f t="shared" si="115"/>
        <v>#DIV/0!</v>
      </c>
      <c r="W181" s="98" t="str">
        <f t="shared" si="106"/>
        <v>1-0.0213584666263709i</v>
      </c>
      <c r="X181" s="160">
        <f t="shared" si="116"/>
        <v>1.0002280660412552</v>
      </c>
      <c r="Y181" s="160">
        <f t="shared" si="117"/>
        <v>-2.1355219717436393E-2</v>
      </c>
      <c r="Z181" s="98" t="str">
        <f t="shared" si="107"/>
        <v>0.999996240287482+0.00253626510442296i</v>
      </c>
      <c r="AA181" s="160">
        <f t="shared" si="118"/>
        <v>0.99999945661474188</v>
      </c>
      <c r="AB181" s="160">
        <f t="shared" si="119"/>
        <v>2.5362692017520953E-3</v>
      </c>
      <c r="AC181" s="171" t="e">
        <f t="shared" si="120"/>
        <v>#DIV/0!</v>
      </c>
      <c r="AD181" s="190" t="e">
        <f t="shared" si="121"/>
        <v>#DIV/0!</v>
      </c>
      <c r="AE181" s="169" t="e">
        <f t="shared" si="122"/>
        <v>#DIV/0!</v>
      </c>
      <c r="AF181" s="98" t="str">
        <f t="shared" si="108"/>
        <v>-0.0000182926829268293</v>
      </c>
      <c r="AG181" s="98" t="str">
        <f t="shared" si="109"/>
        <v>0.0000595557808235871i</v>
      </c>
      <c r="AH181" s="98">
        <f t="shared" si="123"/>
        <v>5.9555780823587098E-5</v>
      </c>
      <c r="AI181" s="98">
        <f t="shared" si="124"/>
        <v>1.5707963267948966</v>
      </c>
      <c r="AJ181" s="98" t="str">
        <f t="shared" si="110"/>
        <v>1+0.0058382296660707i</v>
      </c>
      <c r="AK181" s="98">
        <f t="shared" si="125"/>
        <v>1.0000170423175965</v>
      </c>
      <c r="AL181" s="98">
        <f t="shared" si="126"/>
        <v>5.8381633355525497E-3</v>
      </c>
      <c r="AM181" s="98" t="str">
        <f t="shared" si="111"/>
        <v>1+0.58966119627314i</v>
      </c>
      <c r="AN181" s="98">
        <f t="shared" si="127"/>
        <v>1.1609049601023635</v>
      </c>
      <c r="AO181" s="98">
        <f t="shared" si="128"/>
        <v>0.53278275347956661</v>
      </c>
      <c r="AP181" s="168" t="str">
        <f t="shared" si="129"/>
        <v>-0.179316336078262+0.308198986254266i</v>
      </c>
      <c r="AQ181" s="98">
        <f t="shared" si="130"/>
        <v>-8.9571450167810625</v>
      </c>
      <c r="AR181" s="169">
        <f t="shared" si="131"/>
        <v>120.19170105250301</v>
      </c>
      <c r="AS181" s="168" t="e">
        <f t="shared" si="132"/>
        <v>#DIV/0!</v>
      </c>
      <c r="AT181" s="190" t="e">
        <f t="shared" si="133"/>
        <v>#DIV/0!</v>
      </c>
      <c r="AU181" s="169" t="e">
        <f t="shared" si="134"/>
        <v>#DIV/0!</v>
      </c>
      <c r="AV181" s="225"/>
      <c r="AX181" t="e">
        <f t="shared" si="135"/>
        <v>#DIV/0!</v>
      </c>
      <c r="AY181" t="e">
        <f t="shared" si="136"/>
        <v>#DIV/0!</v>
      </c>
    </row>
    <row r="182" spans="14:51" x14ac:dyDescent="0.25">
      <c r="N182" s="170">
        <v>64</v>
      </c>
      <c r="O182" s="199">
        <f t="shared" si="102"/>
        <v>436.51583224016622</v>
      </c>
      <c r="P182" s="189" t="str">
        <f t="shared" si="103"/>
        <v>290</v>
      </c>
      <c r="Q182" s="160" t="e">
        <f t="shared" si="104"/>
        <v>#DIV/0!</v>
      </c>
      <c r="R182" s="160" t="e">
        <f t="shared" si="112"/>
        <v>#DIV/0!</v>
      </c>
      <c r="S182" s="160" t="e">
        <f t="shared" si="113"/>
        <v>#DIV/0!</v>
      </c>
      <c r="T182" s="160" t="e">
        <f t="shared" si="105"/>
        <v>#DIV/0!</v>
      </c>
      <c r="U182" s="160" t="e">
        <f t="shared" si="114"/>
        <v>#DIV/0!</v>
      </c>
      <c r="V182" s="160" t="e">
        <f t="shared" si="115"/>
        <v>#DIV/0!</v>
      </c>
      <c r="W182" s="98" t="str">
        <f t="shared" si="106"/>
        <v>1-0.0218559692246277i</v>
      </c>
      <c r="X182" s="160">
        <f t="shared" si="116"/>
        <v>1.0002388131795066</v>
      </c>
      <c r="Y182" s="160">
        <f t="shared" si="117"/>
        <v>-2.1852490143883629E-2</v>
      </c>
      <c r="Z182" s="98" t="str">
        <f t="shared" si="107"/>
        <v>0.99999606309769+0.00259534230792223i</v>
      </c>
      <c r="AA182" s="160">
        <f t="shared" si="118"/>
        <v>0.99999943100612543</v>
      </c>
      <c r="AB182" s="160">
        <f t="shared" si="119"/>
        <v>2.5953466982892707E-3</v>
      </c>
      <c r="AC182" s="171" t="e">
        <f t="shared" si="120"/>
        <v>#DIV/0!</v>
      </c>
      <c r="AD182" s="190" t="e">
        <f t="shared" si="121"/>
        <v>#DIV/0!</v>
      </c>
      <c r="AE182" s="169" t="e">
        <f t="shared" si="122"/>
        <v>#DIV/0!</v>
      </c>
      <c r="AF182" s="98" t="str">
        <f t="shared" si="108"/>
        <v>-0.0000182926829268293</v>
      </c>
      <c r="AG182" s="98" t="str">
        <f t="shared" si="109"/>
        <v>0.0000609430131665852i</v>
      </c>
      <c r="AH182" s="98">
        <f t="shared" si="123"/>
        <v>6.0943013166585202E-5</v>
      </c>
      <c r="AI182" s="98">
        <f t="shared" si="124"/>
        <v>1.5707963267948966</v>
      </c>
      <c r="AJ182" s="98" t="str">
        <f t="shared" si="110"/>
        <v>1+0.00597421950461574i</v>
      </c>
      <c r="AK182" s="98">
        <f t="shared" si="125"/>
        <v>1.0000178454901139</v>
      </c>
      <c r="AL182" s="98">
        <f t="shared" si="126"/>
        <v>5.9741484302535171E-3</v>
      </c>
      <c r="AM182" s="98" t="str">
        <f t="shared" si="111"/>
        <v>1+0.603396169966189i</v>
      </c>
      <c r="AN182" s="98">
        <f t="shared" si="127"/>
        <v>1.1679413246948094</v>
      </c>
      <c r="AO182" s="98">
        <f t="shared" si="128"/>
        <v>0.54291294294325276</v>
      </c>
      <c r="AP182" s="168" t="str">
        <f t="shared" si="129"/>
        <v>-0.179316048039611+0.301231734431984i</v>
      </c>
      <c r="AQ182" s="98">
        <f t="shared" si="130"/>
        <v>-9.104664825629877</v>
      </c>
      <c r="AR182" s="169">
        <f t="shared" si="131"/>
        <v>120.76432678243704</v>
      </c>
      <c r="AS182" s="168" t="e">
        <f t="shared" si="132"/>
        <v>#DIV/0!</v>
      </c>
      <c r="AT182" s="190" t="e">
        <f t="shared" si="133"/>
        <v>#DIV/0!</v>
      </c>
      <c r="AU182" s="169" t="e">
        <f t="shared" si="134"/>
        <v>#DIV/0!</v>
      </c>
      <c r="AV182" s="225"/>
      <c r="AX182" t="e">
        <f t="shared" si="135"/>
        <v>#DIV/0!</v>
      </c>
      <c r="AY182" t="e">
        <f t="shared" si="136"/>
        <v>#DIV/0!</v>
      </c>
    </row>
    <row r="183" spans="14:51" x14ac:dyDescent="0.25">
      <c r="N183" s="170">
        <v>65</v>
      </c>
      <c r="O183" s="199">
        <f t="shared" si="102"/>
        <v>446.68359215096331</v>
      </c>
      <c r="P183" s="189" t="str">
        <f t="shared" si="103"/>
        <v>290</v>
      </c>
      <c r="Q183" s="160" t="e">
        <f t="shared" si="104"/>
        <v>#DIV/0!</v>
      </c>
      <c r="R183" s="160" t="e">
        <f t="shared" si="112"/>
        <v>#DIV/0!</v>
      </c>
      <c r="S183" s="160" t="e">
        <f t="shared" si="113"/>
        <v>#DIV/0!</v>
      </c>
      <c r="T183" s="160" t="e">
        <f t="shared" si="105"/>
        <v>#DIV/0!</v>
      </c>
      <c r="U183" s="160" t="e">
        <f t="shared" si="114"/>
        <v>#DIV/0!</v>
      </c>
      <c r="V183" s="160" t="e">
        <f t="shared" si="115"/>
        <v>#DIV/0!</v>
      </c>
      <c r="W183" s="98" t="str">
        <f t="shared" si="106"/>
        <v>1-0.0223650601470653i</v>
      </c>
      <c r="X183" s="160">
        <f t="shared" si="116"/>
        <v>1.0002500666910159</v>
      </c>
      <c r="Y183" s="160">
        <f t="shared" si="117"/>
        <v>-2.2361332295217511E-2</v>
      </c>
      <c r="Z183" s="98" t="str">
        <f t="shared" si="107"/>
        <v>0.9999958775572+0.00265579559626658i</v>
      </c>
      <c r="AA183" s="160">
        <f t="shared" si="118"/>
        <v>0.99999940419064437</v>
      </c>
      <c r="AB183" s="160">
        <f t="shared" si="119"/>
        <v>2.6558003006293671E-3</v>
      </c>
      <c r="AC183" s="171" t="e">
        <f t="shared" si="120"/>
        <v>#DIV/0!</v>
      </c>
      <c r="AD183" s="190" t="e">
        <f t="shared" si="121"/>
        <v>#DIV/0!</v>
      </c>
      <c r="AE183" s="169" t="e">
        <f t="shared" si="122"/>
        <v>#DIV/0!</v>
      </c>
      <c r="AF183" s="98" t="str">
        <f t="shared" si="108"/>
        <v>-0.0000182926829268293</v>
      </c>
      <c r="AG183" s="98" t="str">
        <f t="shared" si="109"/>
        <v>0.0000623625583018403i</v>
      </c>
      <c r="AH183" s="98">
        <f t="shared" si="123"/>
        <v>6.2362558301840303E-5</v>
      </c>
      <c r="AI183" s="98">
        <f t="shared" si="124"/>
        <v>1.5707963267948966</v>
      </c>
      <c r="AJ183" s="98" t="str">
        <f t="shared" si="110"/>
        <v>1+0.00611337695342028i</v>
      </c>
      <c r="AK183" s="98">
        <f t="shared" si="125"/>
        <v>1.0000186865142944</v>
      </c>
      <c r="AL183" s="98">
        <f t="shared" si="126"/>
        <v>6.1133007959459102E-3</v>
      </c>
      <c r="AM183" s="98" t="str">
        <f t="shared" si="111"/>
        <v>1+0.617451072295448i</v>
      </c>
      <c r="AN183" s="98">
        <f t="shared" si="127"/>
        <v>1.175264151873441</v>
      </c>
      <c r="AO183" s="98">
        <f t="shared" si="128"/>
        <v>0.55315244662558039</v>
      </c>
      <c r="AP183" s="168" t="str">
        <f t="shared" si="129"/>
        <v>-0.17931574642711+0.294424199500338i</v>
      </c>
      <c r="AQ183" s="98">
        <f t="shared" si="130"/>
        <v>-9.250382844844939</v>
      </c>
      <c r="AR183" s="169">
        <f t="shared" si="131"/>
        <v>121.3430342844796</v>
      </c>
      <c r="AS183" s="168" t="e">
        <f t="shared" si="132"/>
        <v>#DIV/0!</v>
      </c>
      <c r="AT183" s="190" t="e">
        <f t="shared" si="133"/>
        <v>#DIV/0!</v>
      </c>
      <c r="AU183" s="169" t="e">
        <f t="shared" si="134"/>
        <v>#DIV/0!</v>
      </c>
      <c r="AV183" s="225"/>
      <c r="AX183" t="e">
        <f t="shared" si="135"/>
        <v>#DIV/0!</v>
      </c>
      <c r="AY183" t="e">
        <f t="shared" si="136"/>
        <v>#DIV/0!</v>
      </c>
    </row>
    <row r="184" spans="14:51" x14ac:dyDescent="0.25">
      <c r="N184" s="170">
        <v>66</v>
      </c>
      <c r="O184" s="199">
        <f t="shared" ref="O184:O218" si="137">10^(2+(N184/100))</f>
        <v>457.0881896148756</v>
      </c>
      <c r="P184" s="189" t="str">
        <f t="shared" si="103"/>
        <v>290</v>
      </c>
      <c r="Q184" s="160" t="e">
        <f t="shared" si="104"/>
        <v>#DIV/0!</v>
      </c>
      <c r="R184" s="160" t="e">
        <f t="shared" si="112"/>
        <v>#DIV/0!</v>
      </c>
      <c r="S184" s="160" t="e">
        <f t="shared" si="113"/>
        <v>#DIV/0!</v>
      </c>
      <c r="T184" s="160" t="e">
        <f t="shared" si="105"/>
        <v>#DIV/0!</v>
      </c>
      <c r="U184" s="160" t="e">
        <f t="shared" si="114"/>
        <v>#DIV/0!</v>
      </c>
      <c r="V184" s="160" t="e">
        <f t="shared" si="115"/>
        <v>#DIV/0!</v>
      </c>
      <c r="W184" s="98" t="str">
        <f t="shared" si="106"/>
        <v>1-0.0228860093204295i</v>
      </c>
      <c r="X184" s="160">
        <f t="shared" si="116"/>
        <v>1.0002618504284839</v>
      </c>
      <c r="Y184" s="160">
        <f t="shared" si="117"/>
        <v>-2.2882014911681306E-2</v>
      </c>
      <c r="Z184" s="98" t="str">
        <f t="shared" si="107"/>
        <v>0.999995683272457+0.00271765702258968i</v>
      </c>
      <c r="AA184" s="160">
        <f t="shared" si="118"/>
        <v>0.99999937611142564</v>
      </c>
      <c r="AB184" s="160">
        <f t="shared" si="119"/>
        <v>2.7176620634049376E-3</v>
      </c>
      <c r="AC184" s="171" t="e">
        <f t="shared" si="120"/>
        <v>#DIV/0!</v>
      </c>
      <c r="AD184" s="190" t="e">
        <f t="shared" si="121"/>
        <v>#DIV/0!</v>
      </c>
      <c r="AE184" s="169" t="e">
        <f t="shared" si="122"/>
        <v>#DIV/0!</v>
      </c>
      <c r="AF184" s="98" t="str">
        <f t="shared" si="108"/>
        <v>-0.0000182926829268293</v>
      </c>
      <c r="AG184" s="98" t="str">
        <f t="shared" si="109"/>
        <v>0.0000638151688909733i</v>
      </c>
      <c r="AH184" s="98">
        <f t="shared" si="123"/>
        <v>6.3815168890973294E-5</v>
      </c>
      <c r="AI184" s="98">
        <f t="shared" si="124"/>
        <v>1.5707963267948966</v>
      </c>
      <c r="AJ184" s="98" t="str">
        <f t="shared" si="110"/>
        <v>1+0.00625577579560564i</v>
      </c>
      <c r="AK184" s="98">
        <f t="shared" si="125"/>
        <v>1.0000195671739653</v>
      </c>
      <c r="AL184" s="98">
        <f t="shared" si="126"/>
        <v>6.2556941914878525E-3</v>
      </c>
      <c r="AM184" s="98" t="str">
        <f t="shared" si="111"/>
        <v>1+0.631833355356169i</v>
      </c>
      <c r="AN184" s="98">
        <f t="shared" si="127"/>
        <v>1.1828835060734573</v>
      </c>
      <c r="AO184" s="98">
        <f t="shared" si="128"/>
        <v>0.56349810453108773</v>
      </c>
      <c r="AP184" s="168" t="str">
        <f t="shared" si="129"/>
        <v>-0.179315430601136+0.287772772002591i</v>
      </c>
      <c r="AQ184" s="98">
        <f t="shared" si="130"/>
        <v>-9.3942607603373904</v>
      </c>
      <c r="AR184" s="169">
        <f t="shared" si="131"/>
        <v>121.92763827815638</v>
      </c>
      <c r="AS184" s="168" t="e">
        <f t="shared" si="132"/>
        <v>#DIV/0!</v>
      </c>
      <c r="AT184" s="190" t="e">
        <f t="shared" si="133"/>
        <v>#DIV/0!</v>
      </c>
      <c r="AU184" s="169" t="e">
        <f t="shared" si="134"/>
        <v>#DIV/0!</v>
      </c>
      <c r="AV184" s="225"/>
      <c r="AX184" t="e">
        <f t="shared" si="135"/>
        <v>#DIV/0!</v>
      </c>
      <c r="AY184" t="e">
        <f t="shared" si="136"/>
        <v>#DIV/0!</v>
      </c>
    </row>
    <row r="185" spans="14:51" x14ac:dyDescent="0.25">
      <c r="N185" s="170">
        <v>67</v>
      </c>
      <c r="O185" s="199">
        <f t="shared" si="137"/>
        <v>467.7351412871983</v>
      </c>
      <c r="P185" s="189" t="str">
        <f t="shared" si="103"/>
        <v>290</v>
      </c>
      <c r="Q185" s="160" t="e">
        <f t="shared" si="104"/>
        <v>#DIV/0!</v>
      </c>
      <c r="R185" s="160" t="e">
        <f t="shared" si="112"/>
        <v>#DIV/0!</v>
      </c>
      <c r="S185" s="160" t="e">
        <f t="shared" si="113"/>
        <v>#DIV/0!</v>
      </c>
      <c r="T185" s="160" t="e">
        <f t="shared" si="105"/>
        <v>#DIV/0!</v>
      </c>
      <c r="U185" s="160" t="e">
        <f t="shared" si="114"/>
        <v>#DIV/0!</v>
      </c>
      <c r="V185" s="160" t="e">
        <f t="shared" si="115"/>
        <v>#DIV/0!</v>
      </c>
      <c r="W185" s="98" t="str">
        <f t="shared" si="106"/>
        <v>1-0.0234190929588675i</v>
      </c>
      <c r="X185" s="160">
        <f t="shared" si="116"/>
        <v>1.0002741893676033</v>
      </c>
      <c r="Y185" s="160">
        <f t="shared" si="117"/>
        <v>-2.3414812936143236E-2</v>
      </c>
      <c r="Z185" s="98" t="str">
        <f t="shared" si="107"/>
        <v>0.999995479831356+0.00278095938663859i</v>
      </c>
      <c r="AA185" s="160">
        <f t="shared" si="118"/>
        <v>0.99999934670891355</v>
      </c>
      <c r="AB185" s="160">
        <f t="shared" si="119"/>
        <v>2.7809647879691308E-3</v>
      </c>
      <c r="AC185" s="171" t="e">
        <f t="shared" si="120"/>
        <v>#DIV/0!</v>
      </c>
      <c r="AD185" s="190" t="e">
        <f t="shared" si="121"/>
        <v>#DIV/0!</v>
      </c>
      <c r="AE185" s="169" t="e">
        <f t="shared" si="122"/>
        <v>#DIV/0!</v>
      </c>
      <c r="AF185" s="98" t="str">
        <f t="shared" si="108"/>
        <v>-0.0000182926829268293</v>
      </c>
      <c r="AG185" s="98" t="str">
        <f t="shared" si="109"/>
        <v>0.0000653016151273456i</v>
      </c>
      <c r="AH185" s="98">
        <f t="shared" si="123"/>
        <v>6.5301615127345603E-5</v>
      </c>
      <c r="AI185" s="98">
        <f t="shared" si="124"/>
        <v>1.5707963267948966</v>
      </c>
      <c r="AJ185" s="98" t="str">
        <f t="shared" si="110"/>
        <v>1+0.00640149153292281i</v>
      </c>
      <c r="AK185" s="98">
        <f t="shared" si="125"/>
        <v>1.0000204893370166</v>
      </c>
      <c r="AL185" s="98">
        <f t="shared" si="126"/>
        <v>6.4014040926319727E-3</v>
      </c>
      <c r="AM185" s="98" t="str">
        <f t="shared" si="111"/>
        <v>1+0.646550644825203i</v>
      </c>
      <c r="AN185" s="98">
        <f t="shared" si="127"/>
        <v>1.1908096977787366</v>
      </c>
      <c r="AO185" s="98">
        <f t="shared" si="128"/>
        <v>0.57394654313313842</v>
      </c>
      <c r="AP185" s="168" t="str">
        <f t="shared" si="129"/>
        <v>-0.179315099891935+0.281273925251417i</v>
      </c>
      <c r="AQ185" s="98">
        <f t="shared" si="130"/>
        <v>-9.5362610357295612</v>
      </c>
      <c r="AR185" s="169">
        <f t="shared" si="131"/>
        <v>122.51794115018649</v>
      </c>
      <c r="AS185" s="168" t="e">
        <f t="shared" si="132"/>
        <v>#DIV/0!</v>
      </c>
      <c r="AT185" s="190" t="e">
        <f t="shared" si="133"/>
        <v>#DIV/0!</v>
      </c>
      <c r="AU185" s="169" t="e">
        <f t="shared" si="134"/>
        <v>#DIV/0!</v>
      </c>
      <c r="AV185" s="225"/>
      <c r="AX185" t="e">
        <f t="shared" si="135"/>
        <v>#DIV/0!</v>
      </c>
      <c r="AY185" t="e">
        <f t="shared" si="136"/>
        <v>#DIV/0!</v>
      </c>
    </row>
    <row r="186" spans="14:51" x14ac:dyDescent="0.25">
      <c r="N186" s="170">
        <v>68</v>
      </c>
      <c r="O186" s="199">
        <f t="shared" si="137"/>
        <v>478.63009232263886</v>
      </c>
      <c r="P186" s="189" t="str">
        <f t="shared" si="103"/>
        <v>290</v>
      </c>
      <c r="Q186" s="160" t="e">
        <f t="shared" si="104"/>
        <v>#DIV/0!</v>
      </c>
      <c r="R186" s="160" t="e">
        <f t="shared" si="112"/>
        <v>#DIV/0!</v>
      </c>
      <c r="S186" s="160" t="e">
        <f t="shared" si="113"/>
        <v>#DIV/0!</v>
      </c>
      <c r="T186" s="160" t="e">
        <f t="shared" si="105"/>
        <v>#DIV/0!</v>
      </c>
      <c r="U186" s="160" t="e">
        <f t="shared" si="114"/>
        <v>#DIV/0!</v>
      </c>
      <c r="V186" s="160" t="e">
        <f t="shared" si="115"/>
        <v>#DIV/0!</v>
      </c>
      <c r="W186" s="98" t="str">
        <f t="shared" si="106"/>
        <v>1-0.0239645937103807i</v>
      </c>
      <c r="X186" s="160">
        <f t="shared" si="116"/>
        <v>1.0002871096598736</v>
      </c>
      <c r="Y186" s="160">
        <f t="shared" si="117"/>
        <v>-2.3960007654496056E-2</v>
      </c>
      <c r="Z186" s="98" t="str">
        <f t="shared" si="107"/>
        <v>0.99999526680237+0.00284573625216466i</v>
      </c>
      <c r="AA186" s="160">
        <f t="shared" si="118"/>
        <v>0.9999993159207462</v>
      </c>
      <c r="AB186" s="160">
        <f t="shared" si="119"/>
        <v>2.8457420397942504E-3</v>
      </c>
      <c r="AC186" s="171" t="e">
        <f t="shared" si="120"/>
        <v>#DIV/0!</v>
      </c>
      <c r="AD186" s="190" t="e">
        <f t="shared" si="121"/>
        <v>#DIV/0!</v>
      </c>
      <c r="AE186" s="169" t="e">
        <f t="shared" si="122"/>
        <v>#DIV/0!</v>
      </c>
      <c r="AF186" s="98" t="str">
        <f t="shared" si="108"/>
        <v>-0.0000182926829268293</v>
      </c>
      <c r="AG186" s="98" t="str">
        <f t="shared" si="109"/>
        <v>0.0000668226851444277i</v>
      </c>
      <c r="AH186" s="98">
        <f t="shared" si="123"/>
        <v>6.6822685144427702E-5</v>
      </c>
      <c r="AI186" s="98">
        <f t="shared" si="124"/>
        <v>1.5707963267948966</v>
      </c>
      <c r="AJ186" s="98" t="str">
        <f t="shared" si="110"/>
        <v>1+0.0065506014257845i</v>
      </c>
      <c r="AK186" s="98">
        <f t="shared" si="125"/>
        <v>1.0000214549593622</v>
      </c>
      <c r="AL186" s="98">
        <f t="shared" si="126"/>
        <v>6.550507731933379E-3</v>
      </c>
      <c r="AM186" s="98" t="str">
        <f t="shared" si="111"/>
        <v>1+0.661610744004234i</v>
      </c>
      <c r="AN186" s="98">
        <f t="shared" si="127"/>
        <v>1.1990532834623473</v>
      </c>
      <c r="AO186" s="98">
        <f t="shared" si="128"/>
        <v>0.58449417683483196</v>
      </c>
      <c r="AP186" s="168" t="str">
        <f t="shared" si="129"/>
        <v>-0.179314753598197+0.274924213458921i</v>
      </c>
      <c r="AQ186" s="98">
        <f t="shared" si="130"/>
        <v>-9.6763470256016877</v>
      </c>
      <c r="AR186" s="169">
        <f t="shared" si="131"/>
        <v>123.11373303590142</v>
      </c>
      <c r="AS186" s="168" t="e">
        <f t="shared" si="132"/>
        <v>#DIV/0!</v>
      </c>
      <c r="AT186" s="190" t="e">
        <f t="shared" si="133"/>
        <v>#DIV/0!</v>
      </c>
      <c r="AU186" s="169" t="e">
        <f t="shared" si="134"/>
        <v>#DIV/0!</v>
      </c>
      <c r="AV186" s="225"/>
      <c r="AX186" t="e">
        <f t="shared" si="135"/>
        <v>#DIV/0!</v>
      </c>
      <c r="AY186" t="e">
        <f t="shared" si="136"/>
        <v>#DIV/0!</v>
      </c>
    </row>
    <row r="187" spans="14:51" x14ac:dyDescent="0.25">
      <c r="N187" s="170">
        <v>69</v>
      </c>
      <c r="O187" s="199">
        <f t="shared" si="137"/>
        <v>489.77881936844625</v>
      </c>
      <c r="P187" s="189" t="str">
        <f t="shared" si="103"/>
        <v>290</v>
      </c>
      <c r="Q187" s="160" t="e">
        <f t="shared" si="104"/>
        <v>#DIV/0!</v>
      </c>
      <c r="R187" s="160" t="e">
        <f t="shared" si="112"/>
        <v>#DIV/0!</v>
      </c>
      <c r="S187" s="160" t="e">
        <f t="shared" si="113"/>
        <v>#DIV/0!</v>
      </c>
      <c r="T187" s="160" t="e">
        <f t="shared" si="105"/>
        <v>#DIV/0!</v>
      </c>
      <c r="U187" s="160" t="e">
        <f t="shared" si="114"/>
        <v>#DIV/0!</v>
      </c>
      <c r="V187" s="160" t="e">
        <f t="shared" si="115"/>
        <v>#DIV/0!</v>
      </c>
      <c r="W187" s="98" t="str">
        <f t="shared" si="106"/>
        <v>1-0.0245228008066881i</v>
      </c>
      <c r="X187" s="160">
        <f t="shared" si="116"/>
        <v>1.0003006386878919</v>
      </c>
      <c r="Y187" s="160">
        <f t="shared" si="117"/>
        <v>-2.4517886839035493E-2</v>
      </c>
      <c r="Z187" s="98" t="str">
        <f t="shared" si="107"/>
        <v>0.999995043733638+0.00291202196471939i</v>
      </c>
      <c r="AA187" s="160">
        <f t="shared" si="118"/>
        <v>0.99999928368162527</v>
      </c>
      <c r="AB187" s="160">
        <f t="shared" si="119"/>
        <v>2.9120281662758244E-3</v>
      </c>
      <c r="AC187" s="171" t="e">
        <f t="shared" si="120"/>
        <v>#DIV/0!</v>
      </c>
      <c r="AD187" s="190" t="e">
        <f t="shared" si="121"/>
        <v>#DIV/0!</v>
      </c>
      <c r="AE187" s="169" t="e">
        <f t="shared" si="122"/>
        <v>#DIV/0!</v>
      </c>
      <c r="AF187" s="98" t="str">
        <f t="shared" si="108"/>
        <v>-0.0000182926829268293</v>
      </c>
      <c r="AG187" s="98" t="str">
        <f t="shared" si="109"/>
        <v>0.0000683791854336761i</v>
      </c>
      <c r="AH187" s="98">
        <f t="shared" si="123"/>
        <v>6.8379185433676095E-5</v>
      </c>
      <c r="AI187" s="98">
        <f t="shared" si="124"/>
        <v>1.5707963267948966</v>
      </c>
      <c r="AJ187" s="98" t="str">
        <f t="shared" si="110"/>
        <v>1+0.0067031845342296i</v>
      </c>
      <c r="AK187" s="98">
        <f t="shared" si="125"/>
        <v>1.0000224660890873</v>
      </c>
      <c r="AL187" s="98">
        <f t="shared" si="126"/>
        <v>6.7030841395811546E-3</v>
      </c>
      <c r="AM187" s="98" t="str">
        <f t="shared" si="111"/>
        <v>1+0.677021637957189i</v>
      </c>
      <c r="AN187" s="98">
        <f t="shared" si="127"/>
        <v>1.2076250652674592</v>
      </c>
      <c r="AO187" s="98">
        <f t="shared" si="128"/>
        <v>0.59513721035005629</v>
      </c>
      <c r="AP187" s="168" t="str">
        <f t="shared" si="129"/>
        <v>-0.179314390985572+0.268720269909591i</v>
      </c>
      <c r="AQ187" s="98">
        <f t="shared" si="130"/>
        <v>-9.8144830898078688</v>
      </c>
      <c r="AR187" s="169">
        <f t="shared" si="131"/>
        <v>123.71479195332851</v>
      </c>
      <c r="AS187" s="168" t="e">
        <f t="shared" si="132"/>
        <v>#DIV/0!</v>
      </c>
      <c r="AT187" s="190" t="e">
        <f t="shared" si="133"/>
        <v>#DIV/0!</v>
      </c>
      <c r="AU187" s="169" t="e">
        <f t="shared" si="134"/>
        <v>#DIV/0!</v>
      </c>
      <c r="AV187" s="225"/>
      <c r="AX187" t="e">
        <f t="shared" si="135"/>
        <v>#DIV/0!</v>
      </c>
      <c r="AY187" t="e">
        <f t="shared" si="136"/>
        <v>#DIV/0!</v>
      </c>
    </row>
    <row r="188" spans="14:51" x14ac:dyDescent="0.25">
      <c r="N188" s="170">
        <v>70</v>
      </c>
      <c r="O188" s="199">
        <f t="shared" si="137"/>
        <v>501.18723362727269</v>
      </c>
      <c r="P188" s="189" t="str">
        <f t="shared" si="103"/>
        <v>290</v>
      </c>
      <c r="Q188" s="160" t="e">
        <f t="shared" si="104"/>
        <v>#DIV/0!</v>
      </c>
      <c r="R188" s="160" t="e">
        <f t="shared" si="112"/>
        <v>#DIV/0!</v>
      </c>
      <c r="S188" s="160" t="e">
        <f t="shared" si="113"/>
        <v>#DIV/0!</v>
      </c>
      <c r="T188" s="160" t="e">
        <f t="shared" si="105"/>
        <v>#DIV/0!</v>
      </c>
      <c r="U188" s="160" t="e">
        <f t="shared" si="114"/>
        <v>#DIV/0!</v>
      </c>
      <c r="V188" s="160" t="e">
        <f t="shared" si="115"/>
        <v>#DIV/0!</v>
      </c>
      <c r="W188" s="98" t="str">
        <f t="shared" si="106"/>
        <v>1-0.0250940102165807i</v>
      </c>
      <c r="X188" s="160">
        <f t="shared" si="116"/>
        <v>1.0003148051232422</v>
      </c>
      <c r="Y188" s="160">
        <f t="shared" si="117"/>
        <v>-2.5088744894867294E-2</v>
      </c>
      <c r="Z188" s="98" t="str">
        <f t="shared" si="107"/>
        <v>0.999994810152001+0.00297985166986499i</v>
      </c>
      <c r="AA188" s="160">
        <f t="shared" si="118"/>
        <v>0.99999924992317424</v>
      </c>
      <c r="AB188" s="160">
        <f t="shared" si="119"/>
        <v>2.9798583149519774E-3</v>
      </c>
      <c r="AC188" s="171" t="e">
        <f t="shared" si="120"/>
        <v>#DIV/0!</v>
      </c>
      <c r="AD188" s="190" t="e">
        <f t="shared" si="121"/>
        <v>#DIV/0!</v>
      </c>
      <c r="AE188" s="169" t="e">
        <f t="shared" si="122"/>
        <v>#DIV/0!</v>
      </c>
      <c r="AF188" s="98" t="str">
        <f t="shared" si="108"/>
        <v>-0.0000182926829268293</v>
      </c>
      <c r="AG188" s="98" t="str">
        <f t="shared" si="109"/>
        <v>0.000069971941272147i</v>
      </c>
      <c r="AH188" s="98">
        <f t="shared" si="123"/>
        <v>6.9971941272147002E-5</v>
      </c>
      <c r="AI188" s="98">
        <f t="shared" si="124"/>
        <v>1.5707963267948966</v>
      </c>
      <c r="AJ188" s="98" t="str">
        <f t="shared" si="110"/>
        <v>1+0.00685932175984188i</v>
      </c>
      <c r="AK188" s="98">
        <f t="shared" si="125"/>
        <v>1.0000235248707927</v>
      </c>
      <c r="AL188" s="98">
        <f t="shared" si="126"/>
        <v>6.8592141851746037E-3</v>
      </c>
      <c r="AM188" s="98" t="str">
        <f t="shared" si="111"/>
        <v>1+0.692791497744029i</v>
      </c>
      <c r="AN188" s="98">
        <f t="shared" si="127"/>
        <v>1.2165360904413871</v>
      </c>
      <c r="AO188" s="98">
        <f t="shared" si="128"/>
        <v>0.60587164203351351</v>
      </c>
      <c r="AP188" s="168" t="str">
        <f t="shared" si="129"/>
        <v>-0.179314011285112+0.262658805175142i</v>
      </c>
      <c r="AQ188" s="98">
        <f t="shared" si="130"/>
        <v>-9.9506347082194964</v>
      </c>
      <c r="AR188" s="169">
        <f t="shared" si="131"/>
        <v>124.32088399159451</v>
      </c>
      <c r="AS188" s="168" t="e">
        <f t="shared" si="132"/>
        <v>#DIV/0!</v>
      </c>
      <c r="AT188" s="190" t="e">
        <f t="shared" si="133"/>
        <v>#DIV/0!</v>
      </c>
      <c r="AU188" s="169" t="e">
        <f t="shared" si="134"/>
        <v>#DIV/0!</v>
      </c>
      <c r="AV188" s="225"/>
      <c r="AX188" t="e">
        <f t="shared" si="135"/>
        <v>#DIV/0!</v>
      </c>
      <c r="AY188" t="e">
        <f t="shared" si="136"/>
        <v>#DIV/0!</v>
      </c>
    </row>
    <row r="189" spans="14:51" x14ac:dyDescent="0.25">
      <c r="N189" s="170">
        <v>71</v>
      </c>
      <c r="O189" s="199">
        <f t="shared" si="137"/>
        <v>512.86138399136519</v>
      </c>
      <c r="P189" s="189" t="str">
        <f t="shared" si="103"/>
        <v>290</v>
      </c>
      <c r="Q189" s="160" t="e">
        <f t="shared" si="104"/>
        <v>#DIV/0!</v>
      </c>
      <c r="R189" s="160" t="e">
        <f t="shared" si="112"/>
        <v>#DIV/0!</v>
      </c>
      <c r="S189" s="160" t="e">
        <f t="shared" si="113"/>
        <v>#DIV/0!</v>
      </c>
      <c r="T189" s="160" t="e">
        <f t="shared" si="105"/>
        <v>#DIV/0!</v>
      </c>
      <c r="U189" s="160" t="e">
        <f t="shared" si="114"/>
        <v>#DIV/0!</v>
      </c>
      <c r="V189" s="160" t="e">
        <f t="shared" si="115"/>
        <v>#DIV/0!</v>
      </c>
      <c r="W189" s="98" t="str">
        <f t="shared" si="106"/>
        <v>1-0.0256785248028486i</v>
      </c>
      <c r="X189" s="160">
        <f t="shared" si="116"/>
        <v>1.0003296389870944</v>
      </c>
      <c r="Y189" s="160">
        <f t="shared" si="117"/>
        <v>-2.5672883009391547E-2</v>
      </c>
      <c r="Z189" s="98" t="str">
        <f t="shared" si="107"/>
        <v>0.999994565562+0.00304926133180894i</v>
      </c>
      <c r="AA189" s="160">
        <f t="shared" si="118"/>
        <v>0.99999921457379282</v>
      </c>
      <c r="AB189" s="160">
        <f t="shared" si="119"/>
        <v>3.049268452147424E-3</v>
      </c>
      <c r="AC189" s="171" t="e">
        <f t="shared" si="120"/>
        <v>#DIV/0!</v>
      </c>
      <c r="AD189" s="190" t="e">
        <f t="shared" si="121"/>
        <v>#DIV/0!</v>
      </c>
      <c r="AE189" s="169" t="e">
        <f t="shared" si="122"/>
        <v>#DIV/0!</v>
      </c>
      <c r="AF189" s="98" t="str">
        <f t="shared" si="108"/>
        <v>-0.0000182926829268293</v>
      </c>
      <c r="AG189" s="98" t="str">
        <f t="shared" si="109"/>
        <v>0.0000716017971600685i</v>
      </c>
      <c r="AH189" s="98">
        <f t="shared" si="123"/>
        <v>7.16017971600685E-5</v>
      </c>
      <c r="AI189" s="98">
        <f t="shared" si="124"/>
        <v>1.5707963267948966</v>
      </c>
      <c r="AJ189" s="98" t="str">
        <f t="shared" si="110"/>
        <v>1+0.00701909588864508i</v>
      </c>
      <c r="AK189" s="98">
        <f t="shared" si="125"/>
        <v>1.000024633550141</v>
      </c>
      <c r="AL189" s="98">
        <f t="shared" si="126"/>
        <v>7.0189806204656912E-3</v>
      </c>
      <c r="AM189" s="98" t="str">
        <f t="shared" si="111"/>
        <v>1+0.708928684753152i</v>
      </c>
      <c r="AN189" s="98">
        <f t="shared" si="127"/>
        <v>1.2257976505385519</v>
      </c>
      <c r="AO189" s="98">
        <f t="shared" si="128"/>
        <v>0.61669326818193615</v>
      </c>
      <c r="AP189" s="168" t="str">
        <f t="shared" si="129"/>
        <v>-0.179313613691644+0.256736605370353i</v>
      </c>
      <c r="AQ189" s="98">
        <f t="shared" si="130"/>
        <v>-10.084768595213001</v>
      </c>
      <c r="AR189" s="169">
        <f t="shared" si="131"/>
        <v>124.93176355491759</v>
      </c>
      <c r="AS189" s="168" t="e">
        <f t="shared" si="132"/>
        <v>#DIV/0!</v>
      </c>
      <c r="AT189" s="190" t="e">
        <f t="shared" si="133"/>
        <v>#DIV/0!</v>
      </c>
      <c r="AU189" s="169" t="e">
        <f t="shared" si="134"/>
        <v>#DIV/0!</v>
      </c>
      <c r="AV189" s="225"/>
      <c r="AX189" t="e">
        <f t="shared" si="135"/>
        <v>#DIV/0!</v>
      </c>
      <c r="AY189" t="e">
        <f t="shared" si="136"/>
        <v>#DIV/0!</v>
      </c>
    </row>
    <row r="190" spans="14:51" x14ac:dyDescent="0.25">
      <c r="N190" s="170">
        <v>72</v>
      </c>
      <c r="O190" s="199">
        <f t="shared" si="137"/>
        <v>524.80746024977248</v>
      </c>
      <c r="P190" s="189" t="str">
        <f t="shared" si="103"/>
        <v>290</v>
      </c>
      <c r="Q190" s="160" t="e">
        <f t="shared" si="104"/>
        <v>#DIV/0!</v>
      </c>
      <c r="R190" s="160" t="e">
        <f t="shared" si="112"/>
        <v>#DIV/0!</v>
      </c>
      <c r="S190" s="160" t="e">
        <f t="shared" si="113"/>
        <v>#DIV/0!</v>
      </c>
      <c r="T190" s="160" t="e">
        <f t="shared" si="105"/>
        <v>#DIV/0!</v>
      </c>
      <c r="U190" s="160" t="e">
        <f t="shared" si="114"/>
        <v>#DIV/0!</v>
      </c>
      <c r="V190" s="160" t="e">
        <f t="shared" si="115"/>
        <v>#DIV/0!</v>
      </c>
      <c r="W190" s="98" t="str">
        <f t="shared" si="106"/>
        <v>1-0.0262766544828626i</v>
      </c>
      <c r="X190" s="160">
        <f t="shared" si="116"/>
        <v>1.00034517171365</v>
      </c>
      <c r="Y190" s="160">
        <f t="shared" si="117"/>
        <v>-2.6270609304910993E-2</v>
      </c>
      <c r="Z190" s="98" t="str">
        <f t="shared" si="107"/>
        <v>0.999994309444828+0.00312028775247277i</v>
      </c>
      <c r="AA190" s="160">
        <f t="shared" si="118"/>
        <v>0.99999917755851031</v>
      </c>
      <c r="AB190" s="160">
        <f t="shared" si="119"/>
        <v>3.1202953820523432E-3</v>
      </c>
      <c r="AC190" s="171" t="e">
        <f t="shared" si="120"/>
        <v>#DIV/0!</v>
      </c>
      <c r="AD190" s="190" t="e">
        <f t="shared" si="121"/>
        <v>#DIV/0!</v>
      </c>
      <c r="AE190" s="169" t="e">
        <f t="shared" si="122"/>
        <v>#DIV/0!</v>
      </c>
      <c r="AF190" s="98" t="str">
        <f t="shared" si="108"/>
        <v>-0.0000182926829268293</v>
      </c>
      <c r="AG190" s="98" t="str">
        <f t="shared" si="109"/>
        <v>0.000073269617268606i</v>
      </c>
      <c r="AH190" s="98">
        <f t="shared" si="123"/>
        <v>7.3269617268606E-5</v>
      </c>
      <c r="AI190" s="98">
        <f t="shared" si="124"/>
        <v>1.5707963267948966</v>
      </c>
      <c r="AJ190" s="98" t="str">
        <f t="shared" si="110"/>
        <v>1+0.00718259163499717i</v>
      </c>
      <c r="AK190" s="98">
        <f t="shared" si="125"/>
        <v>1.0000257944786199</v>
      </c>
      <c r="AL190" s="98">
        <f t="shared" si="126"/>
        <v>7.1824681230897389E-3</v>
      </c>
      <c r="AM190" s="98" t="str">
        <f t="shared" si="111"/>
        <v>1+0.725441755134714i</v>
      </c>
      <c r="AN190" s="98">
        <f t="shared" si="127"/>
        <v>1.2354212804112346</v>
      </c>
      <c r="AO190" s="98">
        <f t="shared" si="128"/>
        <v>0.62759768832148721</v>
      </c>
      <c r="AP190" s="168" t="str">
        <f t="shared" si="129"/>
        <v>-0.179313197362064+0.250950530448941i</v>
      </c>
      <c r="AQ190" s="98">
        <f t="shared" si="130"/>
        <v>-10.216852813187487</v>
      </c>
      <c r="AR190" s="169">
        <f t="shared" si="131"/>
        <v>125.54717366304766</v>
      </c>
      <c r="AS190" s="168" t="e">
        <f t="shared" si="132"/>
        <v>#DIV/0!</v>
      </c>
      <c r="AT190" s="190" t="e">
        <f t="shared" si="133"/>
        <v>#DIV/0!</v>
      </c>
      <c r="AU190" s="169" t="e">
        <f t="shared" si="134"/>
        <v>#DIV/0!</v>
      </c>
      <c r="AV190" s="225"/>
      <c r="AX190" t="e">
        <f t="shared" si="135"/>
        <v>#DIV/0!</v>
      </c>
      <c r="AY190" t="e">
        <f t="shared" si="136"/>
        <v>#DIV/0!</v>
      </c>
    </row>
    <row r="191" spans="14:51" x14ac:dyDescent="0.25">
      <c r="N191" s="170">
        <v>73</v>
      </c>
      <c r="O191" s="199">
        <f t="shared" si="137"/>
        <v>537.03179637025301</v>
      </c>
      <c r="P191" s="189" t="str">
        <f t="shared" si="103"/>
        <v>290</v>
      </c>
      <c r="Q191" s="160" t="e">
        <f t="shared" si="104"/>
        <v>#DIV/0!</v>
      </c>
      <c r="R191" s="160" t="e">
        <f t="shared" si="112"/>
        <v>#DIV/0!</v>
      </c>
      <c r="S191" s="160" t="e">
        <f t="shared" si="113"/>
        <v>#DIV/0!</v>
      </c>
      <c r="T191" s="160" t="e">
        <f t="shared" si="105"/>
        <v>#DIV/0!</v>
      </c>
      <c r="U191" s="160" t="e">
        <f t="shared" si="114"/>
        <v>#DIV/0!</v>
      </c>
      <c r="V191" s="160" t="e">
        <f t="shared" si="115"/>
        <v>#DIV/0!</v>
      </c>
      <c r="W191" s="98" t="str">
        <f t="shared" si="106"/>
        <v>1-0.0268887163928959i</v>
      </c>
      <c r="X191" s="160">
        <f t="shared" si="116"/>
        <v>1.0003614362165594</v>
      </c>
      <c r="Y191" s="160">
        <f t="shared" si="117"/>
        <v>-2.6882238994411042E-2</v>
      </c>
      <c r="Z191" s="98" t="str">
        <f t="shared" si="107"/>
        <v>0.999994041257225+0.00319296859100485i</v>
      </c>
      <c r="AA191" s="160">
        <f t="shared" si="118"/>
        <v>0.99999913879881908</v>
      </c>
      <c r="AB191" s="160">
        <f t="shared" si="119"/>
        <v>3.1929767662460138E-3</v>
      </c>
      <c r="AC191" s="171" t="e">
        <f t="shared" si="120"/>
        <v>#DIV/0!</v>
      </c>
      <c r="AD191" s="190" t="e">
        <f t="shared" si="121"/>
        <v>#DIV/0!</v>
      </c>
      <c r="AE191" s="169" t="e">
        <f t="shared" si="122"/>
        <v>#DIV/0!</v>
      </c>
      <c r="AF191" s="98" t="str">
        <f t="shared" si="108"/>
        <v>-0.0000182926829268293</v>
      </c>
      <c r="AG191" s="98" t="str">
        <f t="shared" si="109"/>
        <v>0.0000749762858980575i</v>
      </c>
      <c r="AH191" s="98">
        <f t="shared" si="123"/>
        <v>7.4976285898057502E-5</v>
      </c>
      <c r="AI191" s="98">
        <f t="shared" si="124"/>
        <v>1.5707963267948966</v>
      </c>
      <c r="AJ191" s="98" t="str">
        <f t="shared" si="110"/>
        <v>1+0.00734989568650696i</v>
      </c>
      <c r="AK191" s="98">
        <f t="shared" si="125"/>
        <v>1.000027010118528</v>
      </c>
      <c r="AL191" s="98">
        <f t="shared" si="126"/>
        <v>7.3497633413067785E-3</v>
      </c>
      <c r="AM191" s="98" t="str">
        <f t="shared" si="111"/>
        <v>1+0.742339464337202i</v>
      </c>
      <c r="AN191" s="98">
        <f t="shared" si="127"/>
        <v>1.2454187570100443</v>
      </c>
      <c r="AO191" s="98">
        <f t="shared" si="128"/>
        <v>0.63858031148847472</v>
      </c>
      <c r="AP191" s="168" t="str">
        <f t="shared" si="129"/>
        <v>-0.179312761413546+0.245297512538574i</v>
      </c>
      <c r="AQ191" s="98">
        <f t="shared" si="130"/>
        <v>-10.346856884370473</v>
      </c>
      <c r="AR191" s="169">
        <f t="shared" si="131"/>
        <v>126.16684630856219</v>
      </c>
      <c r="AS191" s="168" t="e">
        <f t="shared" si="132"/>
        <v>#DIV/0!</v>
      </c>
      <c r="AT191" s="190" t="e">
        <f t="shared" si="133"/>
        <v>#DIV/0!</v>
      </c>
      <c r="AU191" s="169" t="e">
        <f t="shared" si="134"/>
        <v>#DIV/0!</v>
      </c>
      <c r="AV191" s="225"/>
      <c r="AX191" t="e">
        <f t="shared" si="135"/>
        <v>#DIV/0!</v>
      </c>
      <c r="AY191" t="e">
        <f t="shared" si="136"/>
        <v>#DIV/0!</v>
      </c>
    </row>
    <row r="192" spans="14:51" x14ac:dyDescent="0.25">
      <c r="N192" s="170">
        <v>74</v>
      </c>
      <c r="O192" s="199">
        <f t="shared" si="137"/>
        <v>549.54087385762534</v>
      </c>
      <c r="P192" s="189" t="str">
        <f t="shared" si="103"/>
        <v>290</v>
      </c>
      <c r="Q192" s="160" t="e">
        <f t="shared" si="104"/>
        <v>#DIV/0!</v>
      </c>
      <c r="R192" s="160" t="e">
        <f t="shared" si="112"/>
        <v>#DIV/0!</v>
      </c>
      <c r="S192" s="160" t="e">
        <f t="shared" si="113"/>
        <v>#DIV/0!</v>
      </c>
      <c r="T192" s="160" t="e">
        <f t="shared" si="105"/>
        <v>#DIV/0!</v>
      </c>
      <c r="U192" s="160" t="e">
        <f t="shared" si="114"/>
        <v>#DIV/0!</v>
      </c>
      <c r="V192" s="160" t="e">
        <f t="shared" si="115"/>
        <v>#DIV/0!</v>
      </c>
      <c r="W192" s="98" t="str">
        <f t="shared" si="106"/>
        <v>1-0.0275150350562751i</v>
      </c>
      <c r="X192" s="160">
        <f t="shared" si="116"/>
        <v>1.0003784669584548</v>
      </c>
      <c r="Y192" s="160">
        <f t="shared" si="117"/>
        <v>-2.7508094540560392E-2</v>
      </c>
      <c r="Z192" s="98" t="str">
        <f t="shared" si="107"/>
        <v>0.99999376043033+0.00326734238374782i</v>
      </c>
      <c r="AA192" s="160">
        <f t="shared" si="118"/>
        <v>0.99999909821251587</v>
      </c>
      <c r="AB192" s="160">
        <f t="shared" si="119"/>
        <v>3.2673511436758329E-3</v>
      </c>
      <c r="AC192" s="171" t="e">
        <f t="shared" si="120"/>
        <v>#DIV/0!</v>
      </c>
      <c r="AD192" s="190" t="e">
        <f t="shared" si="121"/>
        <v>#DIV/0!</v>
      </c>
      <c r="AE192" s="169" t="e">
        <f t="shared" si="122"/>
        <v>#DIV/0!</v>
      </c>
      <c r="AF192" s="98" t="str">
        <f t="shared" si="108"/>
        <v>-0.0000182926829268293</v>
      </c>
      <c r="AG192" s="98" t="str">
        <f t="shared" si="109"/>
        <v>0.0000767227079467207i</v>
      </c>
      <c r="AH192" s="98">
        <f t="shared" si="123"/>
        <v>7.6722707946720698E-5</v>
      </c>
      <c r="AI192" s="98">
        <f t="shared" si="124"/>
        <v>1.5707963267948966</v>
      </c>
      <c r="AJ192" s="98" t="str">
        <f t="shared" si="110"/>
        <v>1+0.00752109674999712i</v>
      </c>
      <c r="AK192" s="98">
        <f t="shared" si="125"/>
        <v>1.0000282830481959</v>
      </c>
      <c r="AL192" s="98">
        <f t="shared" si="126"/>
        <v>7.5209549397767831E-3</v>
      </c>
      <c r="AM192" s="98" t="str">
        <f t="shared" si="111"/>
        <v>1+0.759630771749708i</v>
      </c>
      <c r="AN192" s="98">
        <f t="shared" si="127"/>
        <v>1.2558020980190536</v>
      </c>
      <c r="AO192" s="98">
        <f t="shared" si="128"/>
        <v>0.64963636350220655</v>
      </c>
      <c r="AP192" s="168" t="str">
        <f t="shared" si="129"/>
        <v>-0.17931230492168+0.239774554314172i</v>
      </c>
      <c r="AQ192" s="98">
        <f t="shared" si="130"/>
        <v>-10.47475190014916</v>
      </c>
      <c r="AR192" s="169">
        <f t="shared" si="131"/>
        <v>126.79050287094582</v>
      </c>
      <c r="AS192" s="168" t="e">
        <f t="shared" si="132"/>
        <v>#DIV/0!</v>
      </c>
      <c r="AT192" s="190" t="e">
        <f t="shared" si="133"/>
        <v>#DIV/0!</v>
      </c>
      <c r="AU192" s="169" t="e">
        <f t="shared" si="134"/>
        <v>#DIV/0!</v>
      </c>
      <c r="AV192" s="225"/>
      <c r="AX192" t="e">
        <f t="shared" si="135"/>
        <v>#DIV/0!</v>
      </c>
      <c r="AY192" t="e">
        <f t="shared" si="136"/>
        <v>#DIV/0!</v>
      </c>
    </row>
    <row r="193" spans="14:51" x14ac:dyDescent="0.25">
      <c r="N193" s="170">
        <v>75</v>
      </c>
      <c r="O193" s="199">
        <f t="shared" si="137"/>
        <v>562.34132519034927</v>
      </c>
      <c r="P193" s="189" t="str">
        <f t="shared" si="103"/>
        <v>290</v>
      </c>
      <c r="Q193" s="160" t="e">
        <f t="shared" si="104"/>
        <v>#DIV/0!</v>
      </c>
      <c r="R193" s="160" t="e">
        <f t="shared" si="112"/>
        <v>#DIV/0!</v>
      </c>
      <c r="S193" s="160" t="e">
        <f t="shared" si="113"/>
        <v>#DIV/0!</v>
      </c>
      <c r="T193" s="160" t="e">
        <f t="shared" si="105"/>
        <v>#DIV/0!</v>
      </c>
      <c r="U193" s="160" t="e">
        <f t="shared" si="114"/>
        <v>#DIV/0!</v>
      </c>
      <c r="V193" s="160" t="e">
        <f t="shared" si="115"/>
        <v>#DIV/0!</v>
      </c>
      <c r="W193" s="98" t="str">
        <f t="shared" si="106"/>
        <v>1-0.0281559425554455i</v>
      </c>
      <c r="X193" s="160">
        <f t="shared" si="116"/>
        <v>1.0003963000237384</v>
      </c>
      <c r="Y193" s="160">
        <f t="shared" si="117"/>
        <v>-2.8148505817973873E-2</v>
      </c>
      <c r="Z193" s="98" t="str">
        <f t="shared" si="107"/>
        <v>0.999993466368471+0.00334344856467104i</v>
      </c>
      <c r="AA193" s="160">
        <f t="shared" si="118"/>
        <v>0.99999905571352155</v>
      </c>
      <c r="AB193" s="160">
        <f t="shared" si="119"/>
        <v>3.3434579511022124E-3</v>
      </c>
      <c r="AC193" s="171" t="e">
        <f t="shared" si="120"/>
        <v>#DIV/0!</v>
      </c>
      <c r="AD193" s="190" t="e">
        <f t="shared" si="121"/>
        <v>#DIV/0!</v>
      </c>
      <c r="AE193" s="169" t="e">
        <f t="shared" si="122"/>
        <v>#DIV/0!</v>
      </c>
      <c r="AF193" s="98" t="str">
        <f t="shared" si="108"/>
        <v>-0.0000182926829268293</v>
      </c>
      <c r="AG193" s="98" t="str">
        <f t="shared" si="109"/>
        <v>0.0000785098093906821i</v>
      </c>
      <c r="AH193" s="98">
        <f t="shared" si="123"/>
        <v>7.8509809390682098E-5</v>
      </c>
      <c r="AI193" s="98">
        <f t="shared" si="124"/>
        <v>1.5707963267948966</v>
      </c>
      <c r="AJ193" s="98" t="str">
        <f t="shared" si="110"/>
        <v>1+0.00769628559853761i</v>
      </c>
      <c r="AK193" s="98">
        <f t="shared" si="125"/>
        <v>1.0000296159674544</v>
      </c>
      <c r="AL193" s="98">
        <f t="shared" si="126"/>
        <v>7.6961336463918827E-3</v>
      </c>
      <c r="AM193" s="98" t="str">
        <f t="shared" si="111"/>
        <v>1+0.777324845452297i</v>
      </c>
      <c r="AN193" s="98">
        <f t="shared" si="127"/>
        <v>1.2665835603533773</v>
      </c>
      <c r="AO193" s="98">
        <f t="shared" si="128"/>
        <v>0.66076089521996983</v>
      </c>
      <c r="AP193" s="168" t="str">
        <f t="shared" si="129"/>
        <v>-0.179311826918506+0.234378727408579i</v>
      </c>
      <c r="AQ193" s="98">
        <f t="shared" si="130"/>
        <v>-10.60051062715608</v>
      </c>
      <c r="AR193" s="169">
        <f t="shared" si="131"/>
        <v>127.41785458688341</v>
      </c>
      <c r="AS193" s="168" t="e">
        <f t="shared" si="132"/>
        <v>#DIV/0!</v>
      </c>
      <c r="AT193" s="190" t="e">
        <f t="shared" si="133"/>
        <v>#DIV/0!</v>
      </c>
      <c r="AU193" s="169" t="e">
        <f t="shared" si="134"/>
        <v>#DIV/0!</v>
      </c>
      <c r="AV193" s="225"/>
      <c r="AX193" t="e">
        <f t="shared" si="135"/>
        <v>#DIV/0!</v>
      </c>
      <c r="AY193" t="e">
        <f t="shared" si="136"/>
        <v>#DIV/0!</v>
      </c>
    </row>
    <row r="194" spans="14:51" x14ac:dyDescent="0.25">
      <c r="N194" s="170">
        <v>76</v>
      </c>
      <c r="O194" s="199">
        <f t="shared" si="137"/>
        <v>575.43993733715706</v>
      </c>
      <c r="P194" s="189" t="str">
        <f t="shared" si="103"/>
        <v>290</v>
      </c>
      <c r="Q194" s="160" t="e">
        <f t="shared" si="104"/>
        <v>#DIV/0!</v>
      </c>
      <c r="R194" s="160" t="e">
        <f t="shared" si="112"/>
        <v>#DIV/0!</v>
      </c>
      <c r="S194" s="160" t="e">
        <f t="shared" si="113"/>
        <v>#DIV/0!</v>
      </c>
      <c r="T194" s="160" t="e">
        <f t="shared" si="105"/>
        <v>#DIV/0!</v>
      </c>
      <c r="U194" s="160" t="e">
        <f t="shared" si="114"/>
        <v>#DIV/0!</v>
      </c>
      <c r="V194" s="160" t="e">
        <f t="shared" si="115"/>
        <v>#DIV/0!</v>
      </c>
      <c r="W194" s="98" t="str">
        <f t="shared" si="106"/>
        <v>1-0.0288117787080469i</v>
      </c>
      <c r="X194" s="160">
        <f t="shared" si="116"/>
        <v>1.0004149731947845</v>
      </c>
      <c r="Y194" s="160">
        <f t="shared" si="117"/>
        <v>-2.8803810278787499E-2</v>
      </c>
      <c r="Z194" s="98" t="str">
        <f t="shared" si="107"/>
        <v>0.999993158447903+0.00342132748627902i</v>
      </c>
      <c r="AA194" s="160">
        <f t="shared" si="118"/>
        <v>0.99999901121170165</v>
      </c>
      <c r="AB194" s="160">
        <f t="shared" si="119"/>
        <v>3.4213375440203262E-3</v>
      </c>
      <c r="AC194" s="171" t="e">
        <f t="shared" si="120"/>
        <v>#DIV/0!</v>
      </c>
      <c r="AD194" s="190" t="e">
        <f t="shared" si="121"/>
        <v>#DIV/0!</v>
      </c>
      <c r="AE194" s="169" t="e">
        <f t="shared" si="122"/>
        <v>#DIV/0!</v>
      </c>
      <c r="AF194" s="98" t="str">
        <f t="shared" si="108"/>
        <v>-0.0000182926829268293</v>
      </c>
      <c r="AG194" s="98" t="str">
        <f t="shared" si="109"/>
        <v>0.0000803385377747827i</v>
      </c>
      <c r="AH194" s="98">
        <f t="shared" si="123"/>
        <v>8.0338537774782702E-5</v>
      </c>
      <c r="AI194" s="98">
        <f t="shared" si="124"/>
        <v>1.5707963267948966</v>
      </c>
      <c r="AJ194" s="98" t="str">
        <f t="shared" si="110"/>
        <v>1+0.00787555511957483i</v>
      </c>
      <c r="AK194" s="98">
        <f t="shared" si="125"/>
        <v>1.000031011703358</v>
      </c>
      <c r="AL194" s="98">
        <f t="shared" si="126"/>
        <v>7.8753923001899095E-3</v>
      </c>
      <c r="AM194" s="98" t="str">
        <f t="shared" si="111"/>
        <v>1+0.795431067077057i</v>
      </c>
      <c r="AN194" s="98">
        <f t="shared" si="127"/>
        <v>1.2777756385497987</v>
      </c>
      <c r="AO194" s="98">
        <f t="shared" si="128"/>
        <v>0.67194879175513489</v>
      </c>
      <c r="AP194" s="168" t="str">
        <f t="shared" si="129"/>
        <v>-0.179311326390468+0.229107170859798i</v>
      </c>
      <c r="AQ194" s="98">
        <f t="shared" si="130"/>
        <v>-10.724107609331622</v>
      </c>
      <c r="AR194" s="169">
        <f t="shared" si="131"/>
        <v>128.04860307567358</v>
      </c>
      <c r="AS194" s="168" t="e">
        <f t="shared" si="132"/>
        <v>#DIV/0!</v>
      </c>
      <c r="AT194" s="190" t="e">
        <f t="shared" si="133"/>
        <v>#DIV/0!</v>
      </c>
      <c r="AU194" s="169" t="e">
        <f t="shared" si="134"/>
        <v>#DIV/0!</v>
      </c>
      <c r="AV194" s="225"/>
      <c r="AX194" t="e">
        <f t="shared" si="135"/>
        <v>#DIV/0!</v>
      </c>
      <c r="AY194" t="e">
        <f t="shared" si="136"/>
        <v>#DIV/0!</v>
      </c>
    </row>
    <row r="195" spans="14:51" x14ac:dyDescent="0.25">
      <c r="N195" s="170">
        <v>77</v>
      </c>
      <c r="O195" s="199">
        <f t="shared" si="137"/>
        <v>588.84365535558959</v>
      </c>
      <c r="P195" s="189" t="str">
        <f t="shared" si="103"/>
        <v>290</v>
      </c>
      <c r="Q195" s="160" t="e">
        <f t="shared" si="104"/>
        <v>#DIV/0!</v>
      </c>
      <c r="R195" s="160" t="e">
        <f t="shared" si="112"/>
        <v>#DIV/0!</v>
      </c>
      <c r="S195" s="160" t="e">
        <f t="shared" si="113"/>
        <v>#DIV/0!</v>
      </c>
      <c r="T195" s="160" t="e">
        <f t="shared" si="105"/>
        <v>#DIV/0!</v>
      </c>
      <c r="U195" s="160" t="e">
        <f t="shared" si="114"/>
        <v>#DIV/0!</v>
      </c>
      <c r="V195" s="160" t="e">
        <f t="shared" si="115"/>
        <v>#DIV/0!</v>
      </c>
      <c r="W195" s="98" t="str">
        <f t="shared" si="106"/>
        <v>1-0.0294828912470882i</v>
      </c>
      <c r="X195" s="160">
        <f t="shared" si="116"/>
        <v>1.0004345260317076</v>
      </c>
      <c r="Y195" s="160">
        <f t="shared" si="117"/>
        <v>-2.9474353121584272E-2</v>
      </c>
      <c r="Z195" s="98" t="str">
        <f t="shared" si="107"/>
        <v>0.999992836015486+0.00350102044100685i</v>
      </c>
      <c r="AA195" s="160">
        <f t="shared" si="118"/>
        <v>0.99999896461267568</v>
      </c>
      <c r="AB195" s="160">
        <f t="shared" si="119"/>
        <v>3.5010312180698126E-3</v>
      </c>
      <c r="AC195" s="171" t="e">
        <f t="shared" si="120"/>
        <v>#DIV/0!</v>
      </c>
      <c r="AD195" s="190" t="e">
        <f t="shared" si="121"/>
        <v>#DIV/0!</v>
      </c>
      <c r="AE195" s="169" t="e">
        <f t="shared" si="122"/>
        <v>#DIV/0!</v>
      </c>
      <c r="AF195" s="98" t="str">
        <f t="shared" si="108"/>
        <v>-0.0000182926829268293</v>
      </c>
      <c r="AG195" s="98" t="str">
        <f t="shared" si="109"/>
        <v>0.0000822098627150179i</v>
      </c>
      <c r="AH195" s="98">
        <f t="shared" si="123"/>
        <v>8.2209862715017899E-5</v>
      </c>
      <c r="AI195" s="98">
        <f t="shared" si="124"/>
        <v>1.5707963267948966</v>
      </c>
      <c r="AJ195" s="98" t="str">
        <f t="shared" si="110"/>
        <v>1+0.00805900036418174i</v>
      </c>
      <c r="AK195" s="98">
        <f t="shared" si="125"/>
        <v>1.0000324732161801</v>
      </c>
      <c r="AL195" s="98">
        <f t="shared" si="126"/>
        <v>8.0588259003735018E-3</v>
      </c>
      <c r="AM195" s="98" t="str">
        <f t="shared" si="111"/>
        <v>1+0.813959036782354i</v>
      </c>
      <c r="AN195" s="98">
        <f t="shared" si="127"/>
        <v>1.289391063083523</v>
      </c>
      <c r="AO195" s="98">
        <f t="shared" si="128"/>
        <v>0.68319478263004663</v>
      </c>
      <c r="AP195" s="168" t="str">
        <f t="shared" si="129"/>
        <v>-0.179310802276265+0.223957089593969i</v>
      </c>
      <c r="AQ195" s="98">
        <f t="shared" si="130"/>
        <v>-10.845519265193445</v>
      </c>
      <c r="AR195" s="169">
        <f t="shared" si="131"/>
        <v>128.6824409181373</v>
      </c>
      <c r="AS195" s="168" t="e">
        <f t="shared" si="132"/>
        <v>#DIV/0!</v>
      </c>
      <c r="AT195" s="190" t="e">
        <f t="shared" si="133"/>
        <v>#DIV/0!</v>
      </c>
      <c r="AU195" s="169" t="e">
        <f t="shared" si="134"/>
        <v>#DIV/0!</v>
      </c>
      <c r="AV195" s="225"/>
      <c r="AX195" t="e">
        <f t="shared" si="135"/>
        <v>#DIV/0!</v>
      </c>
      <c r="AY195" t="e">
        <f t="shared" si="136"/>
        <v>#DIV/0!</v>
      </c>
    </row>
    <row r="196" spans="14:51" x14ac:dyDescent="0.25">
      <c r="N196" s="170">
        <v>78</v>
      </c>
      <c r="O196" s="199">
        <f t="shared" si="137"/>
        <v>602.55958607435832</v>
      </c>
      <c r="P196" s="189" t="str">
        <f t="shared" si="103"/>
        <v>290</v>
      </c>
      <c r="Q196" s="160" t="e">
        <f t="shared" si="104"/>
        <v>#DIV/0!</v>
      </c>
      <c r="R196" s="160" t="e">
        <f t="shared" si="112"/>
        <v>#DIV/0!</v>
      </c>
      <c r="S196" s="160" t="e">
        <f t="shared" si="113"/>
        <v>#DIV/0!</v>
      </c>
      <c r="T196" s="160" t="e">
        <f t="shared" si="105"/>
        <v>#DIV/0!</v>
      </c>
      <c r="U196" s="160" t="e">
        <f t="shared" si="114"/>
        <v>#DIV/0!</v>
      </c>
      <c r="V196" s="160" t="e">
        <f t="shared" si="115"/>
        <v>#DIV/0!</v>
      </c>
      <c r="W196" s="98" t="str">
        <f t="shared" si="106"/>
        <v>1-0.030169636005321i</v>
      </c>
      <c r="X196" s="160">
        <f t="shared" si="116"/>
        <v>1.000454999955867</v>
      </c>
      <c r="Y196" s="160">
        <f t="shared" si="117"/>
        <v>-3.0160487463717942E-2</v>
      </c>
      <c r="Z196" s="98" t="str">
        <f t="shared" si="107"/>
        <v>0.999992498387298+0.00358256968311398i</v>
      </c>
      <c r="AA196" s="160">
        <f t="shared" si="118"/>
        <v>0.99999891581761446</v>
      </c>
      <c r="AB196" s="160">
        <f t="shared" si="119"/>
        <v>3.5825812309438587E-3</v>
      </c>
      <c r="AC196" s="171" t="e">
        <f t="shared" si="120"/>
        <v>#DIV/0!</v>
      </c>
      <c r="AD196" s="190" t="e">
        <f t="shared" si="121"/>
        <v>#DIV/0!</v>
      </c>
      <c r="AE196" s="169" t="e">
        <f t="shared" si="122"/>
        <v>#DIV/0!</v>
      </c>
      <c r="AF196" s="98" t="str">
        <f t="shared" si="108"/>
        <v>-0.0000182926829268293</v>
      </c>
      <c r="AG196" s="98" t="str">
        <f t="shared" si="109"/>
        <v>0.0000841247764126407i</v>
      </c>
      <c r="AH196" s="98">
        <f t="shared" si="123"/>
        <v>8.4124776412640705E-5</v>
      </c>
      <c r="AI196" s="98">
        <f t="shared" si="124"/>
        <v>1.5707963267948966</v>
      </c>
      <c r="AJ196" s="98" t="str">
        <f t="shared" si="110"/>
        <v>1+0.00824671859745521i</v>
      </c>
      <c r="AK196" s="98">
        <f t="shared" si="125"/>
        <v>1.0000340036056903</v>
      </c>
      <c r="AL196" s="98">
        <f t="shared" si="126"/>
        <v>8.2465316564599225E-3</v>
      </c>
      <c r="AM196" s="98" t="str">
        <f t="shared" si="111"/>
        <v>1+0.832918578342976i</v>
      </c>
      <c r="AN196" s="98">
        <f t="shared" si="127"/>
        <v>1.3014427986465191</v>
      </c>
      <c r="AO196" s="98">
        <f t="shared" si="128"/>
        <v>0.69449345282611319</v>
      </c>
      <c r="AP196" s="168" t="str">
        <f t="shared" si="129"/>
        <v>-0.179310253464605+0.218925752943262i</v>
      </c>
      <c r="AQ196" s="98">
        <f t="shared" si="130"/>
        <v>-10.964723979558194</v>
      </c>
      <c r="AR196" s="169">
        <f t="shared" si="131"/>
        <v>129.31905228686799</v>
      </c>
      <c r="AS196" s="168" t="e">
        <f t="shared" si="132"/>
        <v>#DIV/0!</v>
      </c>
      <c r="AT196" s="190" t="e">
        <f t="shared" si="133"/>
        <v>#DIV/0!</v>
      </c>
      <c r="AU196" s="169" t="e">
        <f t="shared" si="134"/>
        <v>#DIV/0!</v>
      </c>
      <c r="AV196" s="225"/>
      <c r="AX196" t="e">
        <f t="shared" si="135"/>
        <v>#DIV/0!</v>
      </c>
      <c r="AY196" t="e">
        <f t="shared" si="136"/>
        <v>#DIV/0!</v>
      </c>
    </row>
    <row r="197" spans="14:51" x14ac:dyDescent="0.25">
      <c r="N197" s="170">
        <v>79</v>
      </c>
      <c r="O197" s="199">
        <f t="shared" si="137"/>
        <v>616.59500186148273</v>
      </c>
      <c r="P197" s="189" t="str">
        <f t="shared" si="103"/>
        <v>290</v>
      </c>
      <c r="Q197" s="160" t="e">
        <f t="shared" si="104"/>
        <v>#DIV/0!</v>
      </c>
      <c r="R197" s="160" t="e">
        <f t="shared" si="112"/>
        <v>#DIV/0!</v>
      </c>
      <c r="S197" s="160" t="e">
        <f t="shared" si="113"/>
        <v>#DIV/0!</v>
      </c>
      <c r="T197" s="160" t="e">
        <f t="shared" si="105"/>
        <v>#DIV/0!</v>
      </c>
      <c r="U197" s="160" t="e">
        <f t="shared" si="114"/>
        <v>#DIV/0!</v>
      </c>
      <c r="V197" s="160" t="e">
        <f t="shared" si="115"/>
        <v>#DIV/0!</v>
      </c>
      <c r="W197" s="98" t="str">
        <f t="shared" si="106"/>
        <v>1-0.0308723771039061i</v>
      </c>
      <c r="X197" s="160">
        <f t="shared" si="116"/>
        <v>1.0004764383372782</v>
      </c>
      <c r="Y197" s="160">
        <f t="shared" si="117"/>
        <v>-3.0862574517071657E-2</v>
      </c>
      <c r="Z197" s="98" t="str">
        <f t="shared" si="107"/>
        <v>0.999992144847183+0.00366601845108802i</v>
      </c>
      <c r="AA197" s="160">
        <f t="shared" si="118"/>
        <v>0.99999886472303201</v>
      </c>
      <c r="AB197" s="160">
        <f t="shared" si="119"/>
        <v>3.6660308248093916E-3</v>
      </c>
      <c r="AC197" s="171" t="e">
        <f t="shared" si="120"/>
        <v>#DIV/0!</v>
      </c>
      <c r="AD197" s="190" t="e">
        <f t="shared" si="121"/>
        <v>#DIV/0!</v>
      </c>
      <c r="AE197" s="169" t="e">
        <f t="shared" si="122"/>
        <v>#DIV/0!</v>
      </c>
      <c r="AF197" s="98" t="str">
        <f t="shared" si="108"/>
        <v>-0.0000182926829268293</v>
      </c>
      <c r="AG197" s="98" t="str">
        <f t="shared" si="109"/>
        <v>0.0000860842941802405i</v>
      </c>
      <c r="AH197" s="98">
        <f t="shared" si="123"/>
        <v>8.6084294180240495E-5</v>
      </c>
      <c r="AI197" s="98">
        <f t="shared" si="124"/>
        <v>1.5707963267948966</v>
      </c>
      <c r="AJ197" s="98" t="str">
        <f t="shared" si="110"/>
        <v>1+0.0084388093500873i</v>
      </c>
      <c r="AK197" s="98">
        <f t="shared" si="125"/>
        <v>1.0000356061177258</v>
      </c>
      <c r="AL197" s="98">
        <f t="shared" si="126"/>
        <v>8.4386090395870989E-3</v>
      </c>
      <c r="AM197" s="98" t="str">
        <f t="shared" si="111"/>
        <v>1+0.852319744358816i</v>
      </c>
      <c r="AN197" s="98">
        <f t="shared" si="127"/>
        <v>1.3139440424248963</v>
      </c>
      <c r="AO197" s="98">
        <f t="shared" si="128"/>
        <v>0.70583925468421826</v>
      </c>
      <c r="AP197" s="168" t="str">
        <f t="shared" si="129"/>
        <v>-0.179309678791849+0.214010493197909i</v>
      </c>
      <c r="AQ197" s="98">
        <f t="shared" si="130"/>
        <v>-11.081702188985233</v>
      </c>
      <c r="AR197" s="169">
        <f t="shared" si="131"/>
        <v>129.95811362513598</v>
      </c>
      <c r="AS197" s="168" t="e">
        <f t="shared" si="132"/>
        <v>#DIV/0!</v>
      </c>
      <c r="AT197" s="190" t="e">
        <f t="shared" si="133"/>
        <v>#DIV/0!</v>
      </c>
      <c r="AU197" s="169" t="e">
        <f t="shared" si="134"/>
        <v>#DIV/0!</v>
      </c>
      <c r="AV197" s="225"/>
      <c r="AX197" t="e">
        <f t="shared" si="135"/>
        <v>#DIV/0!</v>
      </c>
      <c r="AY197" t="e">
        <f t="shared" si="136"/>
        <v>#DIV/0!</v>
      </c>
    </row>
    <row r="198" spans="14:51" x14ac:dyDescent="0.25">
      <c r="N198" s="170">
        <v>80</v>
      </c>
      <c r="O198" s="199">
        <f t="shared" si="137"/>
        <v>630.95734448019323</v>
      </c>
      <c r="P198" s="189" t="str">
        <f t="shared" si="103"/>
        <v>290</v>
      </c>
      <c r="Q198" s="160" t="e">
        <f t="shared" si="104"/>
        <v>#DIV/0!</v>
      </c>
      <c r="R198" s="160" t="e">
        <f t="shared" si="112"/>
        <v>#DIV/0!</v>
      </c>
      <c r="S198" s="160" t="e">
        <f t="shared" si="113"/>
        <v>#DIV/0!</v>
      </c>
      <c r="T198" s="160" t="e">
        <f t="shared" si="105"/>
        <v>#DIV/0!</v>
      </c>
      <c r="U198" s="160" t="e">
        <f t="shared" si="114"/>
        <v>#DIV/0!</v>
      </c>
      <c r="V198" s="160" t="e">
        <f t="shared" si="115"/>
        <v>#DIV/0!</v>
      </c>
      <c r="W198" s="98" t="str">
        <f t="shared" si="106"/>
        <v>1-0.0315914871454759i</v>
      </c>
      <c r="X198" s="160">
        <f t="shared" si="116"/>
        <v>1.0004988865861184</v>
      </c>
      <c r="Y198" s="160">
        <f t="shared" si="117"/>
        <v>-3.1580983767293631E-2</v>
      </c>
      <c r="Z198" s="98" t="str">
        <f t="shared" si="107"/>
        <v>0.999991774645236+0.00375141099057032i</v>
      </c>
      <c r="AA198" s="160">
        <f t="shared" si="118"/>
        <v>0.99999881122056777</v>
      </c>
      <c r="AB198" s="160">
        <f t="shared" si="119"/>
        <v>3.7514242492502139E-3</v>
      </c>
      <c r="AC198" s="171" t="e">
        <f t="shared" si="120"/>
        <v>#DIV/0!</v>
      </c>
      <c r="AD198" s="190" t="e">
        <f t="shared" si="121"/>
        <v>#DIV/0!</v>
      </c>
      <c r="AE198" s="169" t="e">
        <f t="shared" si="122"/>
        <v>#DIV/0!</v>
      </c>
      <c r="AF198" s="98" t="str">
        <f t="shared" si="108"/>
        <v>-0.0000182926829268293</v>
      </c>
      <c r="AG198" s="98" t="str">
        <f t="shared" si="109"/>
        <v>0.0000880894549800749i</v>
      </c>
      <c r="AH198" s="98">
        <f t="shared" si="123"/>
        <v>8.8089454980074899E-5</v>
      </c>
      <c r="AI198" s="98">
        <f t="shared" si="124"/>
        <v>1.5707963267948966</v>
      </c>
      <c r="AJ198" s="98" t="str">
        <f t="shared" si="110"/>
        <v>1+0.00863537447113762i</v>
      </c>
      <c r="AK198" s="98">
        <f t="shared" si="125"/>
        <v>1.0000372841510745</v>
      </c>
      <c r="AL198" s="98">
        <f t="shared" si="126"/>
        <v>8.6351598350018037E-3</v>
      </c>
      <c r="AM198" s="98" t="str">
        <f t="shared" si="111"/>
        <v>1+0.872172821584899i</v>
      </c>
      <c r="AN198" s="98">
        <f t="shared" si="127"/>
        <v>1.3269082224145587</v>
      </c>
      <c r="AO198" s="98">
        <f t="shared" si="128"/>
        <v>0.71722652059963954</v>
      </c>
      <c r="AP198" s="168" t="str">
        <f t="shared" si="129"/>
        <v>-0.179309077039548+0.209208704191621i</v>
      </c>
      <c r="AQ198" s="98">
        <f t="shared" si="130"/>
        <v>-11.196436460246309</v>
      </c>
      <c r="AR198" s="169">
        <f t="shared" si="131"/>
        <v>130.59929437124561</v>
      </c>
      <c r="AS198" s="168" t="e">
        <f t="shared" si="132"/>
        <v>#DIV/0!</v>
      </c>
      <c r="AT198" s="190" t="e">
        <f t="shared" si="133"/>
        <v>#DIV/0!</v>
      </c>
      <c r="AU198" s="169" t="e">
        <f t="shared" si="134"/>
        <v>#DIV/0!</v>
      </c>
      <c r="AV198" s="225"/>
      <c r="AX198" t="e">
        <f t="shared" si="135"/>
        <v>#DIV/0!</v>
      </c>
      <c r="AY198" t="e">
        <f t="shared" si="136"/>
        <v>#DIV/0!</v>
      </c>
    </row>
    <row r="199" spans="14:51" x14ac:dyDescent="0.25">
      <c r="N199" s="170">
        <v>81</v>
      </c>
      <c r="O199" s="199">
        <f t="shared" si="137"/>
        <v>645.65422903465594</v>
      </c>
      <c r="P199" s="189" t="str">
        <f t="shared" si="103"/>
        <v>290</v>
      </c>
      <c r="Q199" s="160" t="e">
        <f t="shared" si="104"/>
        <v>#DIV/0!</v>
      </c>
      <c r="R199" s="160" t="e">
        <f t="shared" si="112"/>
        <v>#DIV/0!</v>
      </c>
      <c r="S199" s="160" t="e">
        <f t="shared" si="113"/>
        <v>#DIV/0!</v>
      </c>
      <c r="T199" s="160" t="e">
        <f t="shared" si="105"/>
        <v>#DIV/0!</v>
      </c>
      <c r="U199" s="160" t="e">
        <f t="shared" si="114"/>
        <v>#DIV/0!</v>
      </c>
      <c r="V199" s="160" t="e">
        <f t="shared" si="115"/>
        <v>#DIV/0!</v>
      </c>
      <c r="W199" s="98" t="str">
        <f t="shared" si="106"/>
        <v>1-0.032327347411693i</v>
      </c>
      <c r="X199" s="160">
        <f t="shared" si="116"/>
        <v>1.0005223922485076</v>
      </c>
      <c r="Y199" s="160">
        <f t="shared" si="117"/>
        <v>-3.2316093156544948E-2</v>
      </c>
      <c r="Z199" s="98" t="str">
        <f t="shared" si="107"/>
        <v>0.999991386996209+0.0038387925778156i</v>
      </c>
      <c r="AA199" s="160">
        <f t="shared" si="118"/>
        <v>0.99999875519675396</v>
      </c>
      <c r="AB199" s="160">
        <f t="shared" si="119"/>
        <v>3.8388067847454589E-3</v>
      </c>
      <c r="AC199" s="171" t="e">
        <f t="shared" si="120"/>
        <v>#DIV/0!</v>
      </c>
      <c r="AD199" s="190" t="e">
        <f t="shared" si="121"/>
        <v>#DIV/0!</v>
      </c>
      <c r="AE199" s="169" t="e">
        <f t="shared" si="122"/>
        <v>#DIV/0!</v>
      </c>
      <c r="AF199" s="98" t="str">
        <f t="shared" si="108"/>
        <v>-0.0000182926829268293</v>
      </c>
      <c r="AG199" s="98" t="str">
        <f t="shared" si="109"/>
        <v>0.0000901413219749417i</v>
      </c>
      <c r="AH199" s="98">
        <f t="shared" si="123"/>
        <v>9.0141321974941707E-5</v>
      </c>
      <c r="AI199" s="98">
        <f t="shared" si="124"/>
        <v>1.5707963267948966</v>
      </c>
      <c r="AJ199" s="98" t="str">
        <f t="shared" si="110"/>
        <v>1+0.00883651818203525i</v>
      </c>
      <c r="AK199" s="98">
        <f t="shared" si="125"/>
        <v>1.0000390412646805</v>
      </c>
      <c r="AL199" s="98">
        <f t="shared" si="126"/>
        <v>8.8362881957570437E-3</v>
      </c>
      <c r="AM199" s="98" t="str">
        <f t="shared" si="111"/>
        <v>1+0.892488336385559i</v>
      </c>
      <c r="AN199" s="98">
        <f t="shared" si="127"/>
        <v>1.3403489958157402</v>
      </c>
      <c r="AO199" s="98">
        <f t="shared" si="128"/>
        <v>0.72864947644700095</v>
      </c>
      <c r="AP199" s="168" t="str">
        <f t="shared" si="129"/>
        <v>-0.179308446931864+0.204517839919614i</v>
      </c>
      <c r="AQ199" s="98">
        <f t="shared" si="130"/>
        <v>-11.30891156116987</v>
      </c>
      <c r="AR199" s="169">
        <f t="shared" si="131"/>
        <v>131.24225772465223</v>
      </c>
      <c r="AS199" s="168" t="e">
        <f t="shared" si="132"/>
        <v>#DIV/0!</v>
      </c>
      <c r="AT199" s="190" t="e">
        <f t="shared" si="133"/>
        <v>#DIV/0!</v>
      </c>
      <c r="AU199" s="169" t="e">
        <f t="shared" si="134"/>
        <v>#DIV/0!</v>
      </c>
      <c r="AV199" s="225"/>
      <c r="AX199" t="e">
        <f t="shared" si="135"/>
        <v>#DIV/0!</v>
      </c>
      <c r="AY199" t="e">
        <f t="shared" si="136"/>
        <v>#DIV/0!</v>
      </c>
    </row>
    <row r="200" spans="14:51" x14ac:dyDescent="0.25">
      <c r="N200" s="170">
        <v>82</v>
      </c>
      <c r="O200" s="199">
        <f t="shared" si="137"/>
        <v>660.69344800759643</v>
      </c>
      <c r="P200" s="189" t="str">
        <f t="shared" si="103"/>
        <v>290</v>
      </c>
      <c r="Q200" s="160" t="e">
        <f t="shared" si="104"/>
        <v>#DIV/0!</v>
      </c>
      <c r="R200" s="160" t="e">
        <f t="shared" si="112"/>
        <v>#DIV/0!</v>
      </c>
      <c r="S200" s="160" t="e">
        <f t="shared" si="113"/>
        <v>#DIV/0!</v>
      </c>
      <c r="T200" s="160" t="e">
        <f t="shared" si="105"/>
        <v>#DIV/0!</v>
      </c>
      <c r="U200" s="160" t="e">
        <f t="shared" si="114"/>
        <v>#DIV/0!</v>
      </c>
      <c r="V200" s="160" t="e">
        <f t="shared" si="115"/>
        <v>#DIV/0!</v>
      </c>
      <c r="W200" s="98" t="str">
        <f t="shared" si="106"/>
        <v>1-0.0330803480654108i</v>
      </c>
      <c r="X200" s="160">
        <f t="shared" si="116"/>
        <v>1.0005470051067711</v>
      </c>
      <c r="Y200" s="160">
        <f t="shared" si="117"/>
        <v>-3.3068289269795464E-2</v>
      </c>
      <c r="Z200" s="98" t="str">
        <f t="shared" si="107"/>
        <v>0.999990981077846+0.00392820954369808i</v>
      </c>
      <c r="AA200" s="160">
        <f t="shared" si="118"/>
        <v>0.99999869653277651</v>
      </c>
      <c r="AB200" s="160">
        <f t="shared" si="119"/>
        <v>3.9282247666958875E-3</v>
      </c>
      <c r="AC200" s="171" t="e">
        <f t="shared" si="120"/>
        <v>#DIV/0!</v>
      </c>
      <c r="AD200" s="190" t="e">
        <f t="shared" si="121"/>
        <v>#DIV/0!</v>
      </c>
      <c r="AE200" s="169" t="e">
        <f t="shared" si="122"/>
        <v>#DIV/0!</v>
      </c>
      <c r="AF200" s="98" t="str">
        <f t="shared" si="108"/>
        <v>-0.0000182926829268293</v>
      </c>
      <c r="AG200" s="98" t="str">
        <f t="shared" si="109"/>
        <v>0.000092240983091881i</v>
      </c>
      <c r="AH200" s="98">
        <f t="shared" si="123"/>
        <v>9.2240983091880998E-5</v>
      </c>
      <c r="AI200" s="98">
        <f t="shared" si="124"/>
        <v>1.5707963267948966</v>
      </c>
      <c r="AJ200" s="98" t="str">
        <f t="shared" si="110"/>
        <v>1+0.00904234713183815i</v>
      </c>
      <c r="AK200" s="98">
        <f t="shared" si="125"/>
        <v>1.0000408811851906</v>
      </c>
      <c r="AL200" s="98">
        <f t="shared" si="126"/>
        <v>9.0421006976452029E-3</v>
      </c>
      <c r="AM200" s="98" t="str">
        <f t="shared" si="111"/>
        <v>1+0.913277060315652i</v>
      </c>
      <c r="AN200" s="98">
        <f t="shared" si="127"/>
        <v>1.3542802475480469</v>
      </c>
      <c r="AO200" s="98">
        <f t="shared" si="128"/>
        <v>0.74010225566269716</v>
      </c>
      <c r="AP200" s="168" t="str">
        <f t="shared" si="129"/>
        <v>-0.179307787132866+0.199935413188531i</v>
      </c>
      <c r="AQ200" s="98">
        <f t="shared" si="130"/>
        <v>-11.41911452326077</v>
      </c>
      <c r="AR200" s="169">
        <f t="shared" si="131"/>
        <v>131.88666144967755</v>
      </c>
      <c r="AS200" s="168" t="e">
        <f t="shared" si="132"/>
        <v>#DIV/0!</v>
      </c>
      <c r="AT200" s="190" t="e">
        <f t="shared" si="133"/>
        <v>#DIV/0!</v>
      </c>
      <c r="AU200" s="169" t="e">
        <f t="shared" si="134"/>
        <v>#DIV/0!</v>
      </c>
      <c r="AV200" s="225"/>
      <c r="AX200" t="e">
        <f t="shared" si="135"/>
        <v>#DIV/0!</v>
      </c>
      <c r="AY200" t="e">
        <f t="shared" si="136"/>
        <v>#DIV/0!</v>
      </c>
    </row>
    <row r="201" spans="14:51" x14ac:dyDescent="0.25">
      <c r="N201" s="170">
        <v>83</v>
      </c>
      <c r="O201" s="199">
        <f t="shared" si="137"/>
        <v>676.08297539198213</v>
      </c>
      <c r="P201" s="189" t="str">
        <f t="shared" si="103"/>
        <v>290</v>
      </c>
      <c r="Q201" s="160" t="e">
        <f t="shared" si="104"/>
        <v>#DIV/0!</v>
      </c>
      <c r="R201" s="160" t="e">
        <f t="shared" si="112"/>
        <v>#DIV/0!</v>
      </c>
      <c r="S201" s="160" t="e">
        <f t="shared" si="113"/>
        <v>#DIV/0!</v>
      </c>
      <c r="T201" s="160" t="e">
        <f t="shared" si="105"/>
        <v>#DIV/0!</v>
      </c>
      <c r="U201" s="160" t="e">
        <f t="shared" si="114"/>
        <v>#DIV/0!</v>
      </c>
      <c r="V201" s="160" t="e">
        <f t="shared" si="115"/>
        <v>#DIV/0!</v>
      </c>
      <c r="W201" s="98" t="str">
        <f t="shared" si="106"/>
        <v>1-0.0338508883575431i</v>
      </c>
      <c r="X201" s="160">
        <f t="shared" si="116"/>
        <v>1.0005727772843886</v>
      </c>
      <c r="Y201" s="160">
        <f t="shared" si="117"/>
        <v>-3.3837967524700162E-2</v>
      </c>
      <c r="Z201" s="98" t="str">
        <f t="shared" si="107"/>
        <v>0.99999055602914+0.00401970929827663i</v>
      </c>
      <c r="AA201" s="160">
        <f t="shared" si="118"/>
        <v>0.99999863510422415</v>
      </c>
      <c r="AB201" s="160">
        <f t="shared" si="119"/>
        <v>4.0197256100106393E-3</v>
      </c>
      <c r="AC201" s="171" t="e">
        <f t="shared" si="120"/>
        <v>#DIV/0!</v>
      </c>
      <c r="AD201" s="190" t="e">
        <f t="shared" si="121"/>
        <v>#DIV/0!</v>
      </c>
      <c r="AE201" s="169" t="e">
        <f t="shared" si="122"/>
        <v>#DIV/0!</v>
      </c>
      <c r="AF201" s="98" t="str">
        <f t="shared" si="108"/>
        <v>-0.0000182926829268293</v>
      </c>
      <c r="AG201" s="98" t="str">
        <f t="shared" si="109"/>
        <v>0.0000943895515990093i</v>
      </c>
      <c r="AH201" s="98">
        <f t="shared" si="123"/>
        <v>9.4389551599009301E-5</v>
      </c>
      <c r="AI201" s="98">
        <f t="shared" si="124"/>
        <v>1.5707963267948966</v>
      </c>
      <c r="AJ201" s="98" t="str">
        <f t="shared" si="110"/>
        <v>1+0.00925297045377995i</v>
      </c>
      <c r="AK201" s="98">
        <f t="shared" si="125"/>
        <v>1.0000428078148549</v>
      </c>
      <c r="AL201" s="98">
        <f t="shared" si="126"/>
        <v>9.2527063953952108E-3</v>
      </c>
      <c r="AM201" s="98" t="str">
        <f t="shared" si="111"/>
        <v>1+0.934550015831774i</v>
      </c>
      <c r="AN201" s="98">
        <f t="shared" si="127"/>
        <v>1.3687160889282952</v>
      </c>
      <c r="AO201" s="98">
        <f t="shared" si="128"/>
        <v>0.75157891390481102</v>
      </c>
      <c r="AP201" s="168" t="str">
        <f t="shared" si="129"/>
        <v>-0.179307096243704+0.195458994297529i</v>
      </c>
      <c r="AQ201" s="98">
        <f t="shared" si="130"/>
        <v>-11.527034695558065</v>
      </c>
      <c r="AR201" s="169">
        <f t="shared" si="131"/>
        <v>132.53215871224214</v>
      </c>
      <c r="AS201" s="168" t="e">
        <f t="shared" si="132"/>
        <v>#DIV/0!</v>
      </c>
      <c r="AT201" s="190" t="e">
        <f t="shared" si="133"/>
        <v>#DIV/0!</v>
      </c>
      <c r="AU201" s="169" t="e">
        <f t="shared" si="134"/>
        <v>#DIV/0!</v>
      </c>
      <c r="AV201" s="225"/>
      <c r="AX201" t="e">
        <f t="shared" si="135"/>
        <v>#DIV/0!</v>
      </c>
      <c r="AY201" t="e">
        <f t="shared" si="136"/>
        <v>#DIV/0!</v>
      </c>
    </row>
    <row r="202" spans="14:51" x14ac:dyDescent="0.25">
      <c r="N202" s="170">
        <v>84</v>
      </c>
      <c r="O202" s="199">
        <f t="shared" si="137"/>
        <v>691.83097091893671</v>
      </c>
      <c r="P202" s="189" t="str">
        <f t="shared" si="103"/>
        <v>290</v>
      </c>
      <c r="Q202" s="160" t="e">
        <f t="shared" si="104"/>
        <v>#DIV/0!</v>
      </c>
      <c r="R202" s="160" t="e">
        <f t="shared" si="112"/>
        <v>#DIV/0!</v>
      </c>
      <c r="S202" s="160" t="e">
        <f t="shared" si="113"/>
        <v>#DIV/0!</v>
      </c>
      <c r="T202" s="160" t="e">
        <f t="shared" si="105"/>
        <v>#DIV/0!</v>
      </c>
      <c r="U202" s="160" t="e">
        <f t="shared" si="114"/>
        <v>#DIV/0!</v>
      </c>
      <c r="V202" s="160" t="e">
        <f t="shared" si="115"/>
        <v>#DIV/0!</v>
      </c>
      <c r="W202" s="98" t="str">
        <f t="shared" si="106"/>
        <v>1-0.034639376838752i</v>
      </c>
      <c r="X202" s="160">
        <f t="shared" si="116"/>
        <v>1.000599763355847</v>
      </c>
      <c r="Y202" s="160">
        <f t="shared" si="117"/>
        <v>-3.4625532365085192E-2</v>
      </c>
      <c r="Z202" s="98" t="str">
        <f t="shared" si="107"/>
        <v>0.999990110948506+0.00411334035593226i</v>
      </c>
      <c r="AA202" s="160">
        <f t="shared" si="118"/>
        <v>0.99999857078082321</v>
      </c>
      <c r="AB202" s="160">
        <f t="shared" si="119"/>
        <v>4.1133578342678803E-3</v>
      </c>
      <c r="AC202" s="171" t="e">
        <f t="shared" si="120"/>
        <v>#DIV/0!</v>
      </c>
      <c r="AD202" s="190" t="e">
        <f t="shared" si="121"/>
        <v>#DIV/0!</v>
      </c>
      <c r="AE202" s="169" t="e">
        <f t="shared" si="122"/>
        <v>#DIV/0!</v>
      </c>
      <c r="AF202" s="98" t="str">
        <f t="shared" si="108"/>
        <v>-0.0000182926829268293</v>
      </c>
      <c r="AG202" s="98" t="str">
        <f t="shared" si="109"/>
        <v>0.0000965881666957888i</v>
      </c>
      <c r="AH202" s="98">
        <f t="shared" si="123"/>
        <v>9.6588166695788796E-5</v>
      </c>
      <c r="AI202" s="98">
        <f t="shared" si="124"/>
        <v>1.5707963267948966</v>
      </c>
      <c r="AJ202" s="98" t="str">
        <f t="shared" si="110"/>
        <v>1+0.00946849982313389i</v>
      </c>
      <c r="AK202" s="98">
        <f t="shared" si="125"/>
        <v>1.0000448252397993</v>
      </c>
      <c r="AL202" s="98">
        <f t="shared" si="126"/>
        <v>9.4682168801618911E-3</v>
      </c>
      <c r="AM202" s="98" t="str">
        <f t="shared" si="111"/>
        <v>1+0.956318482136522i</v>
      </c>
      <c r="AN202" s="98">
        <f t="shared" si="127"/>
        <v>1.3836708565536464</v>
      </c>
      <c r="AO202" s="98">
        <f t="shared" si="128"/>
        <v>0.76307344420390499</v>
      </c>
      <c r="AP202" s="168" t="str">
        <f t="shared" si="129"/>
        <v>-0.179306372799645+0.191086209749838i</v>
      </c>
      <c r="AQ202" s="98">
        <f t="shared" si="130"/>
        <v>-11.632663789262757</v>
      </c>
      <c r="AR202" s="169">
        <f t="shared" si="131"/>
        <v>133.17839894464748</v>
      </c>
      <c r="AS202" s="168" t="e">
        <f t="shared" si="132"/>
        <v>#DIV/0!</v>
      </c>
      <c r="AT202" s="190" t="e">
        <f t="shared" si="133"/>
        <v>#DIV/0!</v>
      </c>
      <c r="AU202" s="169" t="e">
        <f t="shared" si="134"/>
        <v>#DIV/0!</v>
      </c>
      <c r="AV202" s="225"/>
      <c r="AX202" t="e">
        <f t="shared" si="135"/>
        <v>#DIV/0!</v>
      </c>
      <c r="AY202" t="e">
        <f t="shared" si="136"/>
        <v>#DIV/0!</v>
      </c>
    </row>
    <row r="203" spans="14:51" x14ac:dyDescent="0.25">
      <c r="N203" s="170">
        <v>85</v>
      </c>
      <c r="O203" s="199">
        <f t="shared" si="137"/>
        <v>707.94578438413873</v>
      </c>
      <c r="P203" s="189" t="str">
        <f t="shared" si="103"/>
        <v>290</v>
      </c>
      <c r="Q203" s="160" t="e">
        <f t="shared" si="104"/>
        <v>#DIV/0!</v>
      </c>
      <c r="R203" s="160" t="e">
        <f t="shared" si="112"/>
        <v>#DIV/0!</v>
      </c>
      <c r="S203" s="160" t="e">
        <f t="shared" si="113"/>
        <v>#DIV/0!</v>
      </c>
      <c r="T203" s="160" t="e">
        <f t="shared" si="105"/>
        <v>#DIV/0!</v>
      </c>
      <c r="U203" s="160" t="e">
        <f t="shared" si="114"/>
        <v>#DIV/0!</v>
      </c>
      <c r="V203" s="160" t="e">
        <f t="shared" si="115"/>
        <v>#DIV/0!</v>
      </c>
      <c r="W203" s="98" t="str">
        <f t="shared" si="106"/>
        <v>1-0.0354462315760672i</v>
      </c>
      <c r="X203" s="160">
        <f t="shared" si="116"/>
        <v>1.000628020461622</v>
      </c>
      <c r="Y203" s="160">
        <f t="shared" si="117"/>
        <v>-3.5431397458071147E-2</v>
      </c>
      <c r="Z203" s="98" t="str">
        <f t="shared" si="107"/>
        <v>0.999989644891867+0.00420915236109111i</v>
      </c>
      <c r="AA203" s="160">
        <f t="shared" si="118"/>
        <v>0.99999850342616059</v>
      </c>
      <c r="AB203" s="160">
        <f t="shared" si="119"/>
        <v>4.2091710894626025E-3</v>
      </c>
      <c r="AC203" s="171" t="e">
        <f t="shared" si="120"/>
        <v>#DIV/0!</v>
      </c>
      <c r="AD203" s="190" t="e">
        <f t="shared" si="121"/>
        <v>#DIV/0!</v>
      </c>
      <c r="AE203" s="169" t="e">
        <f t="shared" si="122"/>
        <v>#DIV/0!</v>
      </c>
      <c r="AF203" s="98" t="str">
        <f t="shared" si="108"/>
        <v>-0.0000182926829268293</v>
      </c>
      <c r="AG203" s="98" t="str">
        <f t="shared" si="109"/>
        <v>0.0000988379941170461i</v>
      </c>
      <c r="AH203" s="98">
        <f t="shared" si="123"/>
        <v>9.8837994117046104E-5</v>
      </c>
      <c r="AI203" s="98">
        <f t="shared" si="124"/>
        <v>1.5707963267948966</v>
      </c>
      <c r="AJ203" s="98" t="str">
        <f t="shared" si="110"/>
        <v>1+0.00968904951642449i</v>
      </c>
      <c r="AK203" s="98">
        <f t="shared" si="125"/>
        <v>1.0000469377386902</v>
      </c>
      <c r="AL203" s="98">
        <f t="shared" si="126"/>
        <v>9.6887463383362477E-3</v>
      </c>
      <c r="AM203" s="98" t="str">
        <f t="shared" si="111"/>
        <v>1+0.978594001158872i</v>
      </c>
      <c r="AN203" s="98">
        <f t="shared" si="127"/>
        <v>1.3991591114323383</v>
      </c>
      <c r="AO203" s="98">
        <f t="shared" si="128"/>
        <v>0.77457979251233877</v>
      </c>
      <c r="AP203" s="168" t="str">
        <f t="shared" si="129"/>
        <v>-0.179305615266974+0.186814740994116i</v>
      </c>
      <c r="AQ203" s="98">
        <f t="shared" si="130"/>
        <v>-11.735995912743162</v>
      </c>
      <c r="AR203" s="169">
        <f t="shared" si="131"/>
        <v>133.82502873311637</v>
      </c>
      <c r="AS203" s="168" t="e">
        <f t="shared" si="132"/>
        <v>#DIV/0!</v>
      </c>
      <c r="AT203" s="190" t="e">
        <f t="shared" si="133"/>
        <v>#DIV/0!</v>
      </c>
      <c r="AU203" s="169" t="e">
        <f t="shared" si="134"/>
        <v>#DIV/0!</v>
      </c>
      <c r="AV203" s="225"/>
      <c r="AX203" t="e">
        <f t="shared" si="135"/>
        <v>#DIV/0!</v>
      </c>
      <c r="AY203" t="e">
        <f t="shared" si="136"/>
        <v>#DIV/0!</v>
      </c>
    </row>
    <row r="204" spans="14:51" x14ac:dyDescent="0.25">
      <c r="N204" s="170">
        <v>86</v>
      </c>
      <c r="O204" s="199">
        <f t="shared" si="137"/>
        <v>724.43596007499025</v>
      </c>
      <c r="P204" s="189" t="str">
        <f t="shared" si="103"/>
        <v>290</v>
      </c>
      <c r="Q204" s="160" t="e">
        <f t="shared" si="104"/>
        <v>#DIV/0!</v>
      </c>
      <c r="R204" s="160" t="e">
        <f t="shared" si="112"/>
        <v>#DIV/0!</v>
      </c>
      <c r="S204" s="160" t="e">
        <f t="shared" si="113"/>
        <v>#DIV/0!</v>
      </c>
      <c r="T204" s="160" t="e">
        <f t="shared" si="105"/>
        <v>#DIV/0!</v>
      </c>
      <c r="U204" s="160" t="e">
        <f t="shared" si="114"/>
        <v>#DIV/0!</v>
      </c>
      <c r="V204" s="160" t="e">
        <f t="shared" si="115"/>
        <v>#DIV/0!</v>
      </c>
      <c r="W204" s="98" t="str">
        <f t="shared" si="106"/>
        <v>1-0.0362718803745504i</v>
      </c>
      <c r="X204" s="160">
        <f t="shared" si="116"/>
        <v>1.0006576084285301</v>
      </c>
      <c r="Y204" s="160">
        <f t="shared" si="117"/>
        <v>-3.625598589485559E-2</v>
      </c>
      <c r="Z204" s="98" t="str">
        <f t="shared" si="107"/>
        <v>0.999989156870656+0.00430719611454652i</v>
      </c>
      <c r="AA204" s="160">
        <f t="shared" si="118"/>
        <v>0.99999843289739943</v>
      </c>
      <c r="AB204" s="160">
        <f t="shared" si="119"/>
        <v>4.3072161823552689E-3</v>
      </c>
      <c r="AC204" s="171" t="e">
        <f t="shared" si="120"/>
        <v>#DIV/0!</v>
      </c>
      <c r="AD204" s="190" t="e">
        <f t="shared" si="121"/>
        <v>#DIV/0!</v>
      </c>
      <c r="AE204" s="169" t="e">
        <f t="shared" si="122"/>
        <v>#DIV/0!</v>
      </c>
      <c r="AF204" s="98" t="str">
        <f t="shared" si="108"/>
        <v>-0.0000182926829268293</v>
      </c>
      <c r="AG204" s="98" t="str">
        <f t="shared" si="109"/>
        <v>0.00010114022675106i</v>
      </c>
      <c r="AH204" s="98">
        <f t="shared" si="123"/>
        <v>1.0114022675106E-4</v>
      </c>
      <c r="AI204" s="98">
        <f t="shared" si="124"/>
        <v>1.5707963267948966</v>
      </c>
      <c r="AJ204" s="98" t="str">
        <f t="shared" si="110"/>
        <v>1+0.0099147364720184i</v>
      </c>
      <c r="AK204" s="98">
        <f t="shared" si="125"/>
        <v>1.0000491497918038</v>
      </c>
      <c r="AL204" s="98">
        <f t="shared" si="126"/>
        <v>9.914411611706227E-3</v>
      </c>
      <c r="AM204" s="98" t="str">
        <f t="shared" si="111"/>
        <v>1+1.00138838367386i</v>
      </c>
      <c r="AN204" s="98">
        <f t="shared" si="127"/>
        <v>1.4151956384037316</v>
      </c>
      <c r="AO204" s="98">
        <f t="shared" si="128"/>
        <v>0.78609187355509347</v>
      </c>
      <c r="AP204" s="168" t="str">
        <f t="shared" si="129"/>
        <v>-0.179304822039749+0.182642323194912i</v>
      </c>
      <c r="AQ204" s="98">
        <f t="shared" si="130"/>
        <v>-11.837027596608539</v>
      </c>
      <c r="AR204" s="169">
        <f t="shared" si="131"/>
        <v>134.47169272253217</v>
      </c>
      <c r="AS204" s="168" t="e">
        <f t="shared" si="132"/>
        <v>#DIV/0!</v>
      </c>
      <c r="AT204" s="190" t="e">
        <f t="shared" si="133"/>
        <v>#DIV/0!</v>
      </c>
      <c r="AU204" s="169" t="e">
        <f t="shared" si="134"/>
        <v>#DIV/0!</v>
      </c>
      <c r="AV204" s="225"/>
      <c r="AX204" t="e">
        <f t="shared" si="135"/>
        <v>#DIV/0!</v>
      </c>
      <c r="AY204" t="e">
        <f t="shared" si="136"/>
        <v>#DIV/0!</v>
      </c>
    </row>
    <row r="205" spans="14:51" x14ac:dyDescent="0.25">
      <c r="N205" s="170">
        <v>87</v>
      </c>
      <c r="O205" s="199">
        <f t="shared" si="137"/>
        <v>741.31024130091828</v>
      </c>
      <c r="P205" s="189" t="str">
        <f t="shared" si="103"/>
        <v>290</v>
      </c>
      <c r="Q205" s="160" t="e">
        <f t="shared" si="104"/>
        <v>#DIV/0!</v>
      </c>
      <c r="R205" s="160" t="e">
        <f t="shared" si="112"/>
        <v>#DIV/0!</v>
      </c>
      <c r="S205" s="160" t="e">
        <f t="shared" si="113"/>
        <v>#DIV/0!</v>
      </c>
      <c r="T205" s="160" t="e">
        <f t="shared" si="105"/>
        <v>#DIV/0!</v>
      </c>
      <c r="U205" s="160" t="e">
        <f t="shared" si="114"/>
        <v>#DIV/0!</v>
      </c>
      <c r="V205" s="160" t="e">
        <f t="shared" si="115"/>
        <v>#DIV/0!</v>
      </c>
      <c r="W205" s="98" t="str">
        <f t="shared" si="106"/>
        <v>1-0.0371167610041232i</v>
      </c>
      <c r="X205" s="160">
        <f t="shared" si="116"/>
        <v>1.0006885898956963</v>
      </c>
      <c r="Y205" s="160">
        <f t="shared" si="117"/>
        <v>-3.7099730395175244E-2</v>
      </c>
      <c r="Z205" s="98" t="str">
        <f t="shared" si="107"/>
        <v>0.999988645849714+0.00440752360039434i</v>
      </c>
      <c r="AA205" s="160">
        <f t="shared" si="118"/>
        <v>0.99999835904497003</v>
      </c>
      <c r="AB205" s="160">
        <f t="shared" si="119"/>
        <v>4.4075451034356183E-3</v>
      </c>
      <c r="AC205" s="171" t="e">
        <f t="shared" si="120"/>
        <v>#DIV/0!</v>
      </c>
      <c r="AD205" s="190" t="e">
        <f t="shared" si="121"/>
        <v>#DIV/0!</v>
      </c>
      <c r="AE205" s="169" t="e">
        <f t="shared" si="122"/>
        <v>#DIV/0!</v>
      </c>
      <c r="AF205" s="98" t="str">
        <f t="shared" si="108"/>
        <v>-0.0000182926829268293</v>
      </c>
      <c r="AG205" s="98" t="str">
        <f t="shared" si="109"/>
        <v>0.000103496085272046i</v>
      </c>
      <c r="AH205" s="98">
        <f t="shared" si="123"/>
        <v>1.03496085272046E-4</v>
      </c>
      <c r="AI205" s="98">
        <f t="shared" si="124"/>
        <v>1.5707963267948966</v>
      </c>
      <c r="AJ205" s="98" t="str">
        <f t="shared" si="110"/>
        <v>1+0.0101456803521268i</v>
      </c>
      <c r="AK205" s="98">
        <f t="shared" si="125"/>
        <v>1.0000514660905246</v>
      </c>
      <c r="AL205" s="98">
        <f t="shared" si="126"/>
        <v>1.0145332258998316E-2</v>
      </c>
      <c r="AM205" s="98" t="str">
        <f t="shared" si="111"/>
        <v>1+1.02471371556481i</v>
      </c>
      <c r="AN205" s="98">
        <f t="shared" si="127"/>
        <v>1.4317954458883568</v>
      </c>
      <c r="AO205" s="98">
        <f t="shared" si="128"/>
        <v>0.79760358688149413</v>
      </c>
      <c r="AP205" s="168" t="str">
        <f t="shared" si="129"/>
        <v>-0.179303991436399+0.178566744031607i</v>
      </c>
      <c r="AQ205" s="98">
        <f t="shared" si="130"/>
        <v>-11.935757808627505</v>
      </c>
      <c r="AR205" s="169">
        <f t="shared" si="131"/>
        <v>135.11803453260703</v>
      </c>
      <c r="AS205" s="168" t="e">
        <f t="shared" si="132"/>
        <v>#DIV/0!</v>
      </c>
      <c r="AT205" s="190" t="e">
        <f t="shared" si="133"/>
        <v>#DIV/0!</v>
      </c>
      <c r="AU205" s="169" t="e">
        <f t="shared" si="134"/>
        <v>#DIV/0!</v>
      </c>
      <c r="AV205" s="225"/>
      <c r="AX205" t="e">
        <f t="shared" si="135"/>
        <v>#DIV/0!</v>
      </c>
      <c r="AY205" t="e">
        <f t="shared" si="136"/>
        <v>#DIV/0!</v>
      </c>
    </row>
    <row r="206" spans="14:51" x14ac:dyDescent="0.25">
      <c r="N206" s="170">
        <v>88</v>
      </c>
      <c r="O206" s="199">
        <f t="shared" si="137"/>
        <v>758.57757502918378</v>
      </c>
      <c r="P206" s="189" t="str">
        <f t="shared" si="103"/>
        <v>290</v>
      </c>
      <c r="Q206" s="160" t="e">
        <f t="shared" si="104"/>
        <v>#DIV/0!</v>
      </c>
      <c r="R206" s="160" t="e">
        <f t="shared" si="112"/>
        <v>#DIV/0!</v>
      </c>
      <c r="S206" s="160" t="e">
        <f t="shared" si="113"/>
        <v>#DIV/0!</v>
      </c>
      <c r="T206" s="160" t="e">
        <f t="shared" si="105"/>
        <v>#DIV/0!</v>
      </c>
      <c r="U206" s="160" t="e">
        <f t="shared" si="114"/>
        <v>#DIV/0!</v>
      </c>
      <c r="V206" s="160" t="e">
        <f t="shared" si="115"/>
        <v>#DIV/0!</v>
      </c>
      <c r="W206" s="98" t="str">
        <f t="shared" si="106"/>
        <v>1-0.0379813214316788i</v>
      </c>
      <c r="X206" s="160">
        <f t="shared" si="116"/>
        <v>1.000721030446396</v>
      </c>
      <c r="Y206" s="160">
        <f t="shared" si="117"/>
        <v>-3.7963073515463026E-2</v>
      </c>
      <c r="Z206" s="98" t="str">
        <f t="shared" si="107"/>
        <v>0.999988110745096+0.00451018801359557i</v>
      </c>
      <c r="AA206" s="160">
        <f t="shared" si="118"/>
        <v>0.99999828171225569</v>
      </c>
      <c r="AB206" s="160">
        <f t="shared" si="119"/>
        <v>4.5102110545158234E-3</v>
      </c>
      <c r="AC206" s="171" t="e">
        <f t="shared" si="120"/>
        <v>#DIV/0!</v>
      </c>
      <c r="AD206" s="190" t="e">
        <f t="shared" si="121"/>
        <v>#DIV/0!</v>
      </c>
      <c r="AE206" s="169" t="e">
        <f t="shared" si="122"/>
        <v>#DIV/0!</v>
      </c>
      <c r="AF206" s="98" t="str">
        <f t="shared" si="108"/>
        <v>-0.0000182926829268293</v>
      </c>
      <c r="AG206" s="98" t="str">
        <f t="shared" si="109"/>
        <v>0.000105906818787376i</v>
      </c>
      <c r="AH206" s="98">
        <f t="shared" si="123"/>
        <v>1.0590681878737601E-4</v>
      </c>
      <c r="AI206" s="98">
        <f t="shared" si="124"/>
        <v>1.5707963267948966</v>
      </c>
      <c r="AJ206" s="98" t="str">
        <f t="shared" si="110"/>
        <v>1+0.0103820036062519i</v>
      </c>
      <c r="AK206" s="98">
        <f t="shared" si="125"/>
        <v>1.0000538915472907</v>
      </c>
      <c r="AL206" s="98">
        <f t="shared" si="126"/>
        <v>1.0381630618830269E-2</v>
      </c>
      <c r="AM206" s="98" t="str">
        <f t="shared" si="111"/>
        <v>1+1.04858236423144i</v>
      </c>
      <c r="AN206" s="98">
        <f t="shared" si="127"/>
        <v>1.4489737660072375</v>
      </c>
      <c r="AO206" s="98">
        <f t="shared" si="128"/>
        <v>0.80910883301482928</v>
      </c>
      <c r="AP206" s="168" t="str">
        <f t="shared" si="129"/>
        <v>-0.179303121696167+0.174585842525164i</v>
      </c>
      <c r="AQ206" s="98">
        <f t="shared" si="130"/>
        <v>-12.032187958358824</v>
      </c>
      <c r="AR206" s="169">
        <f t="shared" si="131"/>
        <v>135.76369767958226</v>
      </c>
      <c r="AS206" s="168" t="e">
        <f t="shared" si="132"/>
        <v>#DIV/0!</v>
      </c>
      <c r="AT206" s="190" t="e">
        <f t="shared" si="133"/>
        <v>#DIV/0!</v>
      </c>
      <c r="AU206" s="169" t="e">
        <f t="shared" si="134"/>
        <v>#DIV/0!</v>
      </c>
      <c r="AV206" s="225"/>
      <c r="AX206" t="e">
        <f t="shared" si="135"/>
        <v>#DIV/0!</v>
      </c>
      <c r="AY206" t="e">
        <f t="shared" si="136"/>
        <v>#DIV/0!</v>
      </c>
    </row>
    <row r="207" spans="14:51" x14ac:dyDescent="0.25">
      <c r="N207" s="170">
        <v>89</v>
      </c>
      <c r="O207" s="199">
        <f t="shared" si="137"/>
        <v>776.24711662869231</v>
      </c>
      <c r="P207" s="189" t="str">
        <f t="shared" si="103"/>
        <v>290</v>
      </c>
      <c r="Q207" s="160" t="e">
        <f t="shared" si="104"/>
        <v>#DIV/0!</v>
      </c>
      <c r="R207" s="160" t="e">
        <f t="shared" si="112"/>
        <v>#DIV/0!</v>
      </c>
      <c r="S207" s="160" t="e">
        <f t="shared" si="113"/>
        <v>#DIV/0!</v>
      </c>
      <c r="T207" s="160" t="e">
        <f t="shared" si="105"/>
        <v>#DIV/0!</v>
      </c>
      <c r="U207" s="160" t="e">
        <f t="shared" si="114"/>
        <v>#DIV/0!</v>
      </c>
      <c r="V207" s="160" t="e">
        <f t="shared" si="115"/>
        <v>#DIV/0!</v>
      </c>
      <c r="W207" s="98" t="str">
        <f t="shared" si="106"/>
        <v>1-0.0388660200585998i</v>
      </c>
      <c r="X207" s="160">
        <f t="shared" si="116"/>
        <v>1.0007549987460445</v>
      </c>
      <c r="Y207" s="160">
        <f t="shared" si="117"/>
        <v>-3.8846467860710054E-2</v>
      </c>
      <c r="Z207" s="98" t="str">
        <f t="shared" si="107"/>
        <v>0.999987550421775+0.004615243788181i</v>
      </c>
      <c r="AA207" s="160">
        <f t="shared" si="118"/>
        <v>0.99999820073526446</v>
      </c>
      <c r="AB207" s="160">
        <f t="shared" si="119"/>
        <v>4.6152684769678225E-3</v>
      </c>
      <c r="AC207" s="171" t="e">
        <f t="shared" si="120"/>
        <v>#DIV/0!</v>
      </c>
      <c r="AD207" s="190" t="e">
        <f t="shared" si="121"/>
        <v>#DIV/0!</v>
      </c>
      <c r="AE207" s="169" t="e">
        <f t="shared" si="122"/>
        <v>#DIV/0!</v>
      </c>
      <c r="AF207" s="98" t="str">
        <f t="shared" si="108"/>
        <v>-0.0000182926829268293</v>
      </c>
      <c r="AG207" s="98" t="str">
        <f t="shared" si="109"/>
        <v>0.000108373705499869i</v>
      </c>
      <c r="AH207" s="98">
        <f t="shared" si="123"/>
        <v>1.08373705499869E-4</v>
      </c>
      <c r="AI207" s="98">
        <f t="shared" si="124"/>
        <v>1.5707963267948966</v>
      </c>
      <c r="AJ207" s="98" t="str">
        <f t="shared" si="110"/>
        <v>1+0.0106238315361111i</v>
      </c>
      <c r="AK207" s="98">
        <f t="shared" si="125"/>
        <v>1.0000564313060076</v>
      </c>
      <c r="AL207" s="98">
        <f t="shared" si="126"/>
        <v>1.0623431874106224E-2</v>
      </c>
      <c r="AM207" s="98" t="str">
        <f t="shared" si="111"/>
        <v>1+1.07300698514722i</v>
      </c>
      <c r="AN207" s="98">
        <f t="shared" si="127"/>
        <v>1.4667460551079476</v>
      </c>
      <c r="AO207" s="98">
        <f t="shared" si="128"/>
        <v>0.82060152959567745</v>
      </c>
      <c r="AP207" s="168" t="str">
        <f t="shared" si="129"/>
        <v>-0.179302210975385+0.170697507892108i</v>
      </c>
      <c r="AQ207" s="98">
        <f t="shared" si="130"/>
        <v>-12.126321891452964</v>
      </c>
      <c r="AR207" s="169">
        <f t="shared" si="131"/>
        <v>136.40832649748094</v>
      </c>
      <c r="AS207" s="168" t="e">
        <f t="shared" si="132"/>
        <v>#DIV/0!</v>
      </c>
      <c r="AT207" s="190" t="e">
        <f t="shared" si="133"/>
        <v>#DIV/0!</v>
      </c>
      <c r="AU207" s="169" t="e">
        <f t="shared" si="134"/>
        <v>#DIV/0!</v>
      </c>
      <c r="AV207" s="225"/>
      <c r="AX207" t="e">
        <f t="shared" si="135"/>
        <v>#DIV/0!</v>
      </c>
      <c r="AY207" t="e">
        <f t="shared" si="136"/>
        <v>#DIV/0!</v>
      </c>
    </row>
    <row r="208" spans="14:51" x14ac:dyDescent="0.25">
      <c r="N208" s="170">
        <v>90</v>
      </c>
      <c r="O208" s="199">
        <f t="shared" si="137"/>
        <v>794.32823472428208</v>
      </c>
      <c r="P208" s="189" t="str">
        <f t="shared" si="103"/>
        <v>290</v>
      </c>
      <c r="Q208" s="160" t="e">
        <f t="shared" si="104"/>
        <v>#DIV/0!</v>
      </c>
      <c r="R208" s="160" t="e">
        <f t="shared" si="112"/>
        <v>#DIV/0!</v>
      </c>
      <c r="S208" s="160" t="e">
        <f t="shared" si="113"/>
        <v>#DIV/0!</v>
      </c>
      <c r="T208" s="160" t="e">
        <f t="shared" si="105"/>
        <v>#DIV/0!</v>
      </c>
      <c r="U208" s="160" t="e">
        <f t="shared" si="114"/>
        <v>#DIV/0!</v>
      </c>
      <c r="V208" s="160" t="e">
        <f t="shared" si="115"/>
        <v>#DIV/0!</v>
      </c>
      <c r="W208" s="98" t="str">
        <f t="shared" si="106"/>
        <v>1-0.0397713259638084i</v>
      </c>
      <c r="X208" s="160">
        <f t="shared" si="116"/>
        <v>1.0007905666866168</v>
      </c>
      <c r="Y208" s="160">
        <f t="shared" si="117"/>
        <v>-3.9750376300038616E-2</v>
      </c>
      <c r="Z208" s="98" t="str">
        <f t="shared" si="107"/>
        <v>0.99998696369123+0.0047227466261129i</v>
      </c>
      <c r="AA208" s="160">
        <f t="shared" si="118"/>
        <v>0.99999811594227517</v>
      </c>
      <c r="AB208" s="160">
        <f t="shared" si="119"/>
        <v>4.7227730806200666E-3</v>
      </c>
      <c r="AC208" s="171" t="e">
        <f t="shared" si="120"/>
        <v>#DIV/0!</v>
      </c>
      <c r="AD208" s="190" t="e">
        <f t="shared" si="121"/>
        <v>#DIV/0!</v>
      </c>
      <c r="AE208" s="169" t="e">
        <f t="shared" si="122"/>
        <v>#DIV/0!</v>
      </c>
      <c r="AF208" s="98" t="str">
        <f t="shared" si="108"/>
        <v>-0.0000182926829268293</v>
      </c>
      <c r="AG208" s="98" t="str">
        <f t="shared" si="109"/>
        <v>0.000110898053385515i</v>
      </c>
      <c r="AH208" s="98">
        <f t="shared" si="123"/>
        <v>1.10898053385515E-4</v>
      </c>
      <c r="AI208" s="98">
        <f t="shared" si="124"/>
        <v>1.5707963267948966</v>
      </c>
      <c r="AJ208" s="98" t="str">
        <f t="shared" si="110"/>
        <v>1+0.0108712923620738i</v>
      </c>
      <c r="AK208" s="98">
        <f t="shared" si="125"/>
        <v>1.0000590907529523</v>
      </c>
      <c r="AL208" s="98">
        <f t="shared" si="126"/>
        <v>1.0870864117886627E-2</v>
      </c>
      <c r="AM208" s="98" t="str">
        <f t="shared" si="111"/>
        <v>1+1.09800052856945i</v>
      </c>
      <c r="AN208" s="98">
        <f t="shared" si="127"/>
        <v>1.4851279947327072</v>
      </c>
      <c r="AO208" s="98">
        <f t="shared" si="128"/>
        <v>0.83207562741483232</v>
      </c>
      <c r="AP208" s="168" t="str">
        <f t="shared" si="129"/>
        <v>-0.179301257343568+0.166899678425079i</v>
      </c>
      <c r="AQ208" s="98">
        <f t="shared" si="130"/>
        <v>-12.218165873678</v>
      </c>
      <c r="AR208" s="169">
        <f t="shared" si="131"/>
        <v>137.05156705295465</v>
      </c>
      <c r="AS208" s="168" t="e">
        <f t="shared" si="132"/>
        <v>#DIV/0!</v>
      </c>
      <c r="AT208" s="190" t="e">
        <f t="shared" si="133"/>
        <v>#DIV/0!</v>
      </c>
      <c r="AU208" s="169" t="e">
        <f t="shared" si="134"/>
        <v>#DIV/0!</v>
      </c>
      <c r="AV208" s="225"/>
      <c r="AX208" t="e">
        <f t="shared" si="135"/>
        <v>#DIV/0!</v>
      </c>
      <c r="AY208" t="e">
        <f t="shared" si="136"/>
        <v>#DIV/0!</v>
      </c>
    </row>
    <row r="209" spans="14:51" x14ac:dyDescent="0.25">
      <c r="N209" s="170">
        <v>91</v>
      </c>
      <c r="O209" s="199">
        <f t="shared" si="137"/>
        <v>812.83051616409978</v>
      </c>
      <c r="P209" s="189" t="str">
        <f t="shared" si="103"/>
        <v>290</v>
      </c>
      <c r="Q209" s="160" t="e">
        <f t="shared" si="104"/>
        <v>#DIV/0!</v>
      </c>
      <c r="R209" s="160" t="e">
        <f t="shared" si="112"/>
        <v>#DIV/0!</v>
      </c>
      <c r="S209" s="160" t="e">
        <f t="shared" si="113"/>
        <v>#DIV/0!</v>
      </c>
      <c r="T209" s="160" t="e">
        <f t="shared" si="105"/>
        <v>#DIV/0!</v>
      </c>
      <c r="U209" s="160" t="e">
        <f t="shared" si="114"/>
        <v>#DIV/0!</v>
      </c>
      <c r="V209" s="160" t="e">
        <f t="shared" si="115"/>
        <v>#DIV/0!</v>
      </c>
      <c r="W209" s="98" t="str">
        <f t="shared" si="106"/>
        <v>1-0.0406977191524787i</v>
      </c>
      <c r="X209" s="160">
        <f t="shared" si="116"/>
        <v>1.0008278095377916</v>
      </c>
      <c r="Y209" s="160">
        <f t="shared" si="117"/>
        <v>-4.0675272185987238E-2</v>
      </c>
      <c r="Z209" s="98" t="str">
        <f t="shared" si="107"/>
        <v>0.999986349308925+0.00483275352681891i</v>
      </c>
      <c r="AA209" s="160">
        <f t="shared" si="118"/>
        <v>0.99999802715347519</v>
      </c>
      <c r="AB209" s="160">
        <f t="shared" si="119"/>
        <v>4.8327818733289677E-3</v>
      </c>
      <c r="AC209" s="171" t="e">
        <f t="shared" si="120"/>
        <v>#DIV/0!</v>
      </c>
      <c r="AD209" s="190" t="e">
        <f t="shared" si="121"/>
        <v>#DIV/0!</v>
      </c>
      <c r="AE209" s="169" t="e">
        <f t="shared" si="122"/>
        <v>#DIV/0!</v>
      </c>
      <c r="AF209" s="98" t="str">
        <f t="shared" si="108"/>
        <v>-0.0000182926829268293</v>
      </c>
      <c r="AG209" s="98" t="str">
        <f t="shared" si="109"/>
        <v>0.000113481200886974i</v>
      </c>
      <c r="AH209" s="98">
        <f t="shared" si="123"/>
        <v>1.13481200886974E-4</v>
      </c>
      <c r="AI209" s="98">
        <f t="shared" si="124"/>
        <v>1.5707963267948966</v>
      </c>
      <c r="AJ209" s="98" t="str">
        <f t="shared" si="110"/>
        <v>1+0.0111245172911454i</v>
      </c>
      <c r="AK209" s="98">
        <f t="shared" si="125"/>
        <v>1.00006187552819</v>
      </c>
      <c r="AL209" s="98">
        <f t="shared" si="126"/>
        <v>1.1124058420764851E-2</v>
      </c>
      <c r="AM209" s="98" t="str">
        <f t="shared" si="111"/>
        <v>1+1.12357624640568i</v>
      </c>
      <c r="AN209" s="98">
        <f t="shared" si="127"/>
        <v>1.5041354930614057</v>
      </c>
      <c r="AO209" s="98">
        <f t="shared" si="128"/>
        <v>0.84352512623307496</v>
      </c>
      <c r="AP209" s="168" t="str">
        <f t="shared" si="129"/>
        <v>-0.179300258779343+0.16319034039941i</v>
      </c>
      <c r="AQ209" s="98">
        <f t="shared" si="130"/>
        <v>-12.307728564812276</v>
      </c>
      <c r="AR209" s="169">
        <f t="shared" si="131"/>
        <v>137.6930680478284</v>
      </c>
      <c r="AS209" s="168" t="e">
        <f t="shared" si="132"/>
        <v>#DIV/0!</v>
      </c>
      <c r="AT209" s="190" t="e">
        <f t="shared" si="133"/>
        <v>#DIV/0!</v>
      </c>
      <c r="AU209" s="169" t="e">
        <f t="shared" si="134"/>
        <v>#DIV/0!</v>
      </c>
      <c r="AV209" s="225"/>
      <c r="AX209" t="e">
        <f t="shared" si="135"/>
        <v>#DIV/0!</v>
      </c>
      <c r="AY209" t="e">
        <f t="shared" si="136"/>
        <v>#DIV/0!</v>
      </c>
    </row>
    <row r="210" spans="14:51" x14ac:dyDescent="0.25">
      <c r="N210" s="170">
        <v>92</v>
      </c>
      <c r="O210" s="199">
        <f t="shared" si="137"/>
        <v>831.7637711026714</v>
      </c>
      <c r="P210" s="189" t="str">
        <f t="shared" si="103"/>
        <v>290</v>
      </c>
      <c r="Q210" s="160" t="e">
        <f t="shared" si="104"/>
        <v>#DIV/0!</v>
      </c>
      <c r="R210" s="160" t="e">
        <f t="shared" si="112"/>
        <v>#DIV/0!</v>
      </c>
      <c r="S210" s="160" t="e">
        <f t="shared" si="113"/>
        <v>#DIV/0!</v>
      </c>
      <c r="T210" s="160" t="e">
        <f t="shared" si="105"/>
        <v>#DIV/0!</v>
      </c>
      <c r="U210" s="160" t="e">
        <f t="shared" si="114"/>
        <v>#DIV/0!</v>
      </c>
      <c r="V210" s="160" t="e">
        <f t="shared" si="115"/>
        <v>#DIV/0!</v>
      </c>
      <c r="W210" s="98" t="str">
        <f t="shared" si="106"/>
        <v>1-0.0416456908105417i</v>
      </c>
      <c r="X210" s="160">
        <f t="shared" si="116"/>
        <v>1.0008668061051318</v>
      </c>
      <c r="Y210" s="160">
        <f t="shared" si="117"/>
        <v>-4.162163957750073E-2</v>
      </c>
      <c r="Z210" s="98" t="str">
        <f t="shared" si="107"/>
        <v>0.999985705971675+0.00494532281741389i</v>
      </c>
      <c r="AA210" s="160">
        <f t="shared" si="118"/>
        <v>0.99999793418058514</v>
      </c>
      <c r="AB210" s="160">
        <f t="shared" si="119"/>
        <v>4.9453531912409454E-3</v>
      </c>
      <c r="AC210" s="171" t="e">
        <f t="shared" si="120"/>
        <v>#DIV/0!</v>
      </c>
      <c r="AD210" s="190" t="e">
        <f t="shared" si="121"/>
        <v>#DIV/0!</v>
      </c>
      <c r="AE210" s="169" t="e">
        <f t="shared" si="122"/>
        <v>#DIV/0!</v>
      </c>
      <c r="AF210" s="98" t="str">
        <f t="shared" si="108"/>
        <v>-0.0000182926829268293</v>
      </c>
      <c r="AG210" s="98" t="str">
        <f t="shared" si="109"/>
        <v>0.000116124517623245i</v>
      </c>
      <c r="AH210" s="98">
        <f t="shared" si="123"/>
        <v>1.16124517623245E-4</v>
      </c>
      <c r="AI210" s="98">
        <f t="shared" si="124"/>
        <v>1.5707963267948966</v>
      </c>
      <c r="AJ210" s="98" t="str">
        <f t="shared" si="110"/>
        <v>1+0.0113836405865351i</v>
      </c>
      <c r="AK210" s="98">
        <f t="shared" si="125"/>
        <v>1.00006479153753</v>
      </c>
      <c r="AL210" s="98">
        <f t="shared" si="126"/>
        <v>1.1383148899784187E-2</v>
      </c>
      <c r="AM210" s="98" t="str">
        <f t="shared" si="111"/>
        <v>1+1.14974769924005i</v>
      </c>
      <c r="AN210" s="98">
        <f t="shared" si="127"/>
        <v>1.523784686859593</v>
      </c>
      <c r="AO210" s="98">
        <f t="shared" si="128"/>
        <v>0.85494409028752816</v>
      </c>
      <c r="AP210" s="168" t="str">
        <f t="shared" si="129"/>
        <v>-0.179299213166156+0.159567527005098i</v>
      </c>
      <c r="AQ210" s="98">
        <f t="shared" si="130"/>
        <v>-12.395020982640565</v>
      </c>
      <c r="AR210" s="169">
        <f t="shared" si="131"/>
        <v>138.33248170360034</v>
      </c>
      <c r="AS210" s="168" t="e">
        <f t="shared" si="132"/>
        <v>#DIV/0!</v>
      </c>
      <c r="AT210" s="190" t="e">
        <f t="shared" si="133"/>
        <v>#DIV/0!</v>
      </c>
      <c r="AU210" s="169" t="e">
        <f t="shared" si="134"/>
        <v>#DIV/0!</v>
      </c>
      <c r="AV210" s="225"/>
      <c r="AX210" t="e">
        <f t="shared" si="135"/>
        <v>#DIV/0!</v>
      </c>
      <c r="AY210" t="e">
        <f t="shared" si="136"/>
        <v>#DIV/0!</v>
      </c>
    </row>
    <row r="211" spans="14:51" x14ac:dyDescent="0.25">
      <c r="N211" s="170">
        <v>93</v>
      </c>
      <c r="O211" s="199">
        <f t="shared" si="137"/>
        <v>851.13803820237763</v>
      </c>
      <c r="P211" s="189" t="str">
        <f t="shared" ref="P211:P274" si="138">COMPLEX(Adc,0)</f>
        <v>290</v>
      </c>
      <c r="Q211" s="160" t="e">
        <f t="shared" ref="Q211:Q274" si="139">IMSUM(COMPLEX(1,0),IMDIV(COMPLEX(0,2*PI()*O211),COMPLEX(wp_lf,0)))</f>
        <v>#DIV/0!</v>
      </c>
      <c r="R211" s="160" t="e">
        <f t="shared" si="112"/>
        <v>#DIV/0!</v>
      </c>
      <c r="S211" s="160" t="e">
        <f t="shared" si="113"/>
        <v>#DIV/0!</v>
      </c>
      <c r="T211" s="160" t="e">
        <f t="shared" ref="T211:T274" si="140">IMSUM(COMPLEX(1,0),IMDIV(COMPLEX(0,2*PI()*O211),COMPLEX(wz_esr,0)))</f>
        <v>#DIV/0!</v>
      </c>
      <c r="U211" s="160" t="e">
        <f t="shared" si="114"/>
        <v>#DIV/0!</v>
      </c>
      <c r="V211" s="160" t="e">
        <f t="shared" si="115"/>
        <v>#DIV/0!</v>
      </c>
      <c r="W211" s="98" t="str">
        <f t="shared" ref="W211:W274" si="141">IMSUB(COMPLEX(1,0),IMDIV(COMPLEX(0,2*PI()*O211),COMPLEX(wz_rhp,0)))</f>
        <v>1-0.0426157435651184i</v>
      </c>
      <c r="X211" s="160">
        <f t="shared" si="116"/>
        <v>1.0009076388956215</v>
      </c>
      <c r="Y211" s="160">
        <f t="shared" si="117"/>
        <v>-4.2589973466613439E-2</v>
      </c>
      <c r="Z211" s="98" t="str">
        <f t="shared" ref="Z211:Z274" si="142">IF(Dc_Mode_Loop="CCM",IMSUM(COMPLEX(1,0),IMDIV(COMPLEX(0,2*PI()*O211),COMPLEX(Q*(wsl/2),0)),IMDIV(IMPOWER(COMPLEX(0,2*PI()*O211),2),IMPOWER(COMPLEX(wsl/2,0),2))),COMPLEX(1,0))</f>
        <v>0.999985032314874+0.00506051418362575i</v>
      </c>
      <c r="AA211" s="160">
        <f t="shared" si="118"/>
        <v>0.99999783682645138</v>
      </c>
      <c r="AB211" s="160">
        <f t="shared" si="119"/>
        <v>5.0605467297614119E-3</v>
      </c>
      <c r="AC211" s="171" t="e">
        <f t="shared" si="120"/>
        <v>#DIV/0!</v>
      </c>
      <c r="AD211" s="190" t="e">
        <f t="shared" si="121"/>
        <v>#DIV/0!</v>
      </c>
      <c r="AE211" s="169" t="e">
        <f t="shared" si="122"/>
        <v>#DIV/0!</v>
      </c>
      <c r="AF211" s="98" t="str">
        <f t="shared" ref="AF211:AF274" si="143">COMPLEX(Adc_ea,0)</f>
        <v>-0.0000182926829268293</v>
      </c>
      <c r="AG211" s="98" t="str">
        <f t="shared" ref="AG211:AG274" si="144">COMPLEX(0,2*PI()*O211*wp0_ea)</f>
        <v>0.00011882940511585i</v>
      </c>
      <c r="AH211" s="98">
        <f t="shared" si="123"/>
        <v>1.1882940511585E-4</v>
      </c>
      <c r="AI211" s="98">
        <f t="shared" si="124"/>
        <v>1.5707963267948966</v>
      </c>
      <c r="AJ211" s="98" t="str">
        <f t="shared" ref="AJ211:AJ274" si="145">IMSUM(COMPLEX(1,0),IMDIV(COMPLEX(0,2*PI()*O211),COMPLEX(wp1_ea,0)))</f>
        <v>1+0.0116487996388442i</v>
      </c>
      <c r="AK211" s="98">
        <f t="shared" si="125"/>
        <v>1.0000678449650433</v>
      </c>
      <c r="AL211" s="98">
        <f t="shared" si="126"/>
        <v>1.1648272788928824E-2</v>
      </c>
      <c r="AM211" s="98" t="str">
        <f t="shared" ref="AM211:AM274" si="146">IMSUM(COMPLEX(1,0),IMDIV(COMPLEX(0,2*PI()*O211),COMPLEX(wz_ea,0)))</f>
        <v>1+1.17652876352326i</v>
      </c>
      <c r="AN211" s="98">
        <f t="shared" si="127"/>
        <v>1.5440919439585101</v>
      </c>
      <c r="AO211" s="98">
        <f t="shared" si="128"/>
        <v>0.86632666338806363</v>
      </c>
      <c r="AP211" s="168" t="str">
        <f t="shared" si="129"/>
        <v>-0.179298118287807+0.156029317303654i</v>
      </c>
      <c r="AQ211" s="98">
        <f t="shared" si="130"/>
        <v>-12.4800564573712</v>
      </c>
      <c r="AR211" s="169">
        <f t="shared" si="131"/>
        <v>138.96946462236397</v>
      </c>
      <c r="AS211" s="168" t="e">
        <f t="shared" si="132"/>
        <v>#DIV/0!</v>
      </c>
      <c r="AT211" s="190" t="e">
        <f t="shared" si="133"/>
        <v>#DIV/0!</v>
      </c>
      <c r="AU211" s="169" t="e">
        <f t="shared" si="134"/>
        <v>#DIV/0!</v>
      </c>
      <c r="AV211" s="225"/>
      <c r="AX211" t="e">
        <f t="shared" si="135"/>
        <v>#DIV/0!</v>
      </c>
      <c r="AY211" t="e">
        <f t="shared" si="136"/>
        <v>#DIV/0!</v>
      </c>
    </row>
    <row r="212" spans="14:51" x14ac:dyDescent="0.25">
      <c r="N212" s="170">
        <v>94</v>
      </c>
      <c r="O212" s="199">
        <f t="shared" si="137"/>
        <v>870.96358995608091</v>
      </c>
      <c r="P212" s="189" t="str">
        <f t="shared" si="138"/>
        <v>290</v>
      </c>
      <c r="Q212" s="160" t="e">
        <f t="shared" si="139"/>
        <v>#DIV/0!</v>
      </c>
      <c r="R212" s="160" t="e">
        <f t="shared" ref="R212:R275" si="147">IMABS(Q212)</f>
        <v>#DIV/0!</v>
      </c>
      <c r="S212" s="160" t="e">
        <f t="shared" ref="S212:S275" si="148">IMARGUMENT(Q212)</f>
        <v>#DIV/0!</v>
      </c>
      <c r="T212" s="160" t="e">
        <f t="shared" si="140"/>
        <v>#DIV/0!</v>
      </c>
      <c r="U212" s="160" t="e">
        <f t="shared" ref="U212:U275" si="149">IMABS(T212)</f>
        <v>#DIV/0!</v>
      </c>
      <c r="V212" s="160" t="e">
        <f t="shared" ref="V212:V275" si="150">IMARGUMENT(T212)</f>
        <v>#DIV/0!</v>
      </c>
      <c r="W212" s="98" t="str">
        <f t="shared" si="141"/>
        <v>1-0.0436083917510192i</v>
      </c>
      <c r="X212" s="160">
        <f t="shared" ref="X212:X275" si="151">IMABS(W212)</f>
        <v>1.000950394290901</v>
      </c>
      <c r="Y212" s="160">
        <f t="shared" ref="Y212:Y275" si="152">IMARGUMENT(W212)</f>
        <v>-4.358078000880642E-2</v>
      </c>
      <c r="Z212" s="98" t="str">
        <f t="shared" si="142"/>
        <v>0.999984326909607+0.00517838870144158i</v>
      </c>
      <c r="AA212" s="160">
        <f t="shared" ref="AA212:AA275" si="153">IMABS(Z212)</f>
        <v>0.99999773488463617</v>
      </c>
      <c r="AB212" s="160">
        <f t="shared" ref="AB212:AB275" si="154">IMARGUMENT(Z212)</f>
        <v>5.1784235752470641E-3</v>
      </c>
      <c r="AC212" s="171" t="e">
        <f t="shared" ref="AC212:AC275" si="155">(IMDIV(IMPRODUCT(P212,T212,W212),IMPRODUCT(Q212,Z212)))</f>
        <v>#DIV/0!</v>
      </c>
      <c r="AD212" s="190" t="e">
        <f t="shared" ref="AD212:AD275" si="156">20*LOG(IMABS(AC212))</f>
        <v>#DIV/0!</v>
      </c>
      <c r="AE212" s="169" t="e">
        <f t="shared" ref="AE212:AE275" si="157">(180/PI())*IMARGUMENT(AC212)</f>
        <v>#DIV/0!</v>
      </c>
      <c r="AF212" s="98" t="str">
        <f t="shared" si="143"/>
        <v>-0.0000182926829268293</v>
      </c>
      <c r="AG212" s="98" t="str">
        <f t="shared" si="144"/>
        <v>0.00012159729753194i</v>
      </c>
      <c r="AH212" s="98">
        <f t="shared" ref="AH212:AH275" si="158">IMABS(AG212)</f>
        <v>1.2159729753194E-4</v>
      </c>
      <c r="AI212" s="98">
        <f t="shared" ref="AI212:AI275" si="159">IMARGUMENT(AG212)</f>
        <v>1.5707963267948966</v>
      </c>
      <c r="AJ212" s="98" t="str">
        <f t="shared" si="145"/>
        <v>1+0.0119201350389118i</v>
      </c>
      <c r="AK212" s="98">
        <f t="shared" ref="AK212:AK275" si="160">IMABS(AJ212)</f>
        <v>1.0000710422861696</v>
      </c>
      <c r="AL212" s="98">
        <f t="shared" ref="AL212:AL275" si="161">IMARGUMENT(AJ212)</f>
        <v>1.1919570511222388E-2</v>
      </c>
      <c r="AM212" s="98" t="str">
        <f t="shared" si="146"/>
        <v>1+1.20393363893009i</v>
      </c>
      <c r="AN212" s="98">
        <f t="shared" ref="AN212:AN275" si="162">IMABS(AM212)</f>
        <v>1.5650738662911245</v>
      </c>
      <c r="AO212" s="98">
        <f t="shared" ref="AO212:AO275" si="163">IMARGUMENT(AM212)</f>
        <v>0.8776670835121132</v>
      </c>
      <c r="AP212" s="168" t="str">
        <f t="shared" ref="AP212:AP275" si="164">IMPRODUCT(AF212,IMDIV(AM212,IMPRODUCT(AG212,AJ212)))</f>
        <v>-0.179296971823764+0.152573835209232i</v>
      </c>
      <c r="AQ212" s="98">
        <f t="shared" ref="AQ212:AQ275" si="165">20*LOG(IMABS(AP212))</f>
        <v>-12.56285057687826</v>
      </c>
      <c r="AR212" s="169">
        <f t="shared" ref="AR212:AR275" si="166">(180/PI())*IMARGUMENT(AP212)</f>
        <v>139.60367861889833</v>
      </c>
      <c r="AS212" s="168" t="e">
        <f t="shared" ref="AS212:AS275" si="167">IMPRODUCT(AC212,AP212)</f>
        <v>#DIV/0!</v>
      </c>
      <c r="AT212" s="190" t="e">
        <f t="shared" ref="AT212:AT275" si="168">20*LOG(IMABS(AS212))</f>
        <v>#DIV/0!</v>
      </c>
      <c r="AU212" s="169" t="e">
        <f t="shared" ref="AU212:AU275" si="169">(180/PI())*IMARGUMENT(AS212)</f>
        <v>#DIV/0!</v>
      </c>
      <c r="AV212" s="225"/>
      <c r="AX212" t="e">
        <f t="shared" ref="AX212:AX275" si="170">SUM((AT213&lt;0)*(AT212&gt;0))*O212</f>
        <v>#DIV/0!</v>
      </c>
      <c r="AY212" t="e">
        <f t="shared" ref="AY212:AY275" si="171">IF(AX212&gt;0,AU212,0)</f>
        <v>#DIV/0!</v>
      </c>
    </row>
    <row r="213" spans="14:51" x14ac:dyDescent="0.25">
      <c r="N213" s="170">
        <v>95</v>
      </c>
      <c r="O213" s="199">
        <f t="shared" si="137"/>
        <v>891.25093813374656</v>
      </c>
      <c r="P213" s="189" t="str">
        <f t="shared" si="138"/>
        <v>290</v>
      </c>
      <c r="Q213" s="160" t="e">
        <f t="shared" si="139"/>
        <v>#DIV/0!</v>
      </c>
      <c r="R213" s="160" t="e">
        <f t="shared" si="147"/>
        <v>#DIV/0!</v>
      </c>
      <c r="S213" s="160" t="e">
        <f t="shared" si="148"/>
        <v>#DIV/0!</v>
      </c>
      <c r="T213" s="160" t="e">
        <f t="shared" si="140"/>
        <v>#DIV/0!</v>
      </c>
      <c r="U213" s="160" t="e">
        <f t="shared" si="149"/>
        <v>#DIV/0!</v>
      </c>
      <c r="V213" s="160" t="e">
        <f t="shared" si="150"/>
        <v>#DIV/0!</v>
      </c>
      <c r="W213" s="98" t="str">
        <f t="shared" si="141"/>
        <v>1-0.0446241616834518i</v>
      </c>
      <c r="X213" s="160">
        <f t="shared" si="151"/>
        <v>1.0009951627285472</v>
      </c>
      <c r="Y213" s="160">
        <f t="shared" si="152"/>
        <v>-4.4594576757012033E-2</v>
      </c>
      <c r="Z213" s="98" t="str">
        <f t="shared" si="142"/>
        <v>0.999983588259613+0.00529900886949101i</v>
      </c>
      <c r="AA213" s="160">
        <f t="shared" si="153"/>
        <v>0.99999762813897219</v>
      </c>
      <c r="AB213" s="160">
        <f t="shared" si="154"/>
        <v>5.2990462374387743E-3</v>
      </c>
      <c r="AC213" s="171" t="e">
        <f t="shared" si="155"/>
        <v>#DIV/0!</v>
      </c>
      <c r="AD213" s="190" t="e">
        <f t="shared" si="156"/>
        <v>#DIV/0!</v>
      </c>
      <c r="AE213" s="169" t="e">
        <f t="shared" si="157"/>
        <v>#DIV/0!</v>
      </c>
      <c r="AF213" s="98" t="str">
        <f t="shared" si="143"/>
        <v>-0.0000182926829268293</v>
      </c>
      <c r="AG213" s="98" t="str">
        <f t="shared" si="144"/>
        <v>0.000124429662444712i</v>
      </c>
      <c r="AH213" s="98">
        <f t="shared" si="158"/>
        <v>1.24429662444712E-4</v>
      </c>
      <c r="AI213" s="98">
        <f t="shared" si="159"/>
        <v>1.5707963267948966</v>
      </c>
      <c r="AJ213" s="98" t="str">
        <f t="shared" si="145"/>
        <v>1+0.0121977906523588i</v>
      </c>
      <c r="AK213" s="98">
        <f t="shared" si="160"/>
        <v>1.0000743902814424</v>
      </c>
      <c r="AL213" s="98">
        <f t="shared" si="161"/>
        <v>1.2197185752471388E-2</v>
      </c>
      <c r="AM213" s="98" t="str">
        <f t="shared" si="146"/>
        <v>1+1.23197685588823i</v>
      </c>
      <c r="AN213" s="98">
        <f t="shared" si="162"/>
        <v>1.5867472935046236</v>
      </c>
      <c r="AO213" s="98">
        <f t="shared" si="163"/>
        <v>0.88895969681195097</v>
      </c>
      <c r="AP213" s="168" t="str">
        <f t="shared" si="164"/>
        <v>-0.17929577134425+0.149199248493523i</v>
      </c>
      <c r="AQ213" s="98">
        <f t="shared" si="165"/>
        <v>-12.643421123245259</v>
      </c>
      <c r="AR213" s="169">
        <f t="shared" si="166"/>
        <v>140.23479151900042</v>
      </c>
      <c r="AS213" s="168" t="e">
        <f t="shared" si="167"/>
        <v>#DIV/0!</v>
      </c>
      <c r="AT213" s="190" t="e">
        <f t="shared" si="168"/>
        <v>#DIV/0!</v>
      </c>
      <c r="AU213" s="169" t="e">
        <f t="shared" si="169"/>
        <v>#DIV/0!</v>
      </c>
      <c r="AV213" s="225"/>
      <c r="AX213" t="e">
        <f t="shared" si="170"/>
        <v>#DIV/0!</v>
      </c>
      <c r="AY213" t="e">
        <f t="shared" si="171"/>
        <v>#DIV/0!</v>
      </c>
    </row>
    <row r="214" spans="14:51" x14ac:dyDescent="0.25">
      <c r="N214" s="170">
        <v>96</v>
      </c>
      <c r="O214" s="199">
        <f t="shared" si="137"/>
        <v>912.01083935590987</v>
      </c>
      <c r="P214" s="189" t="str">
        <f t="shared" si="138"/>
        <v>290</v>
      </c>
      <c r="Q214" s="160" t="e">
        <f t="shared" si="139"/>
        <v>#DIV/0!</v>
      </c>
      <c r="R214" s="160" t="e">
        <f t="shared" si="147"/>
        <v>#DIV/0!</v>
      </c>
      <c r="S214" s="160" t="e">
        <f t="shared" si="148"/>
        <v>#DIV/0!</v>
      </c>
      <c r="T214" s="160" t="e">
        <f t="shared" si="140"/>
        <v>#DIV/0!</v>
      </c>
      <c r="U214" s="160" t="e">
        <f t="shared" si="149"/>
        <v>#DIV/0!</v>
      </c>
      <c r="V214" s="160" t="e">
        <f t="shared" si="150"/>
        <v>#DIV/0!</v>
      </c>
      <c r="W214" s="98" t="str">
        <f t="shared" si="141"/>
        <v>1-0.0456635919370795i</v>
      </c>
      <c r="X214" s="160">
        <f t="shared" si="151"/>
        <v>1.001042038891772</v>
      </c>
      <c r="Y214" s="160">
        <f t="shared" si="152"/>
        <v>-4.5631892899227797E-2</v>
      </c>
      <c r="Z214" s="98" t="str">
        <f t="shared" si="142"/>
        <v>0.999982814798118+0.0054224386421837i</v>
      </c>
      <c r="AA214" s="160">
        <f t="shared" si="153"/>
        <v>0.99999751636311363</v>
      </c>
      <c r="AB214" s="160">
        <f t="shared" si="154"/>
        <v>5.4224786826520804E-3</v>
      </c>
      <c r="AC214" s="171" t="e">
        <f t="shared" si="155"/>
        <v>#DIV/0!</v>
      </c>
      <c r="AD214" s="190" t="e">
        <f t="shared" si="156"/>
        <v>#DIV/0!</v>
      </c>
      <c r="AE214" s="169" t="e">
        <f t="shared" si="157"/>
        <v>#DIV/0!</v>
      </c>
      <c r="AF214" s="98" t="str">
        <f t="shared" si="143"/>
        <v>-0.0000182926829268293</v>
      </c>
      <c r="AG214" s="98" t="str">
        <f t="shared" si="144"/>
        <v>0.000127328001611533i</v>
      </c>
      <c r="AH214" s="98">
        <f t="shared" si="158"/>
        <v>1.2732800161153299E-4</v>
      </c>
      <c r="AI214" s="98">
        <f t="shared" si="159"/>
        <v>1.5707963267948966</v>
      </c>
      <c r="AJ214" s="98" t="str">
        <f t="shared" si="145"/>
        <v>1+0.0124819136958664i</v>
      </c>
      <c r="AK214" s="98">
        <f t="shared" si="160"/>
        <v>1.0000778960508581</v>
      </c>
      <c r="AL214" s="98">
        <f t="shared" si="161"/>
        <v>1.2481265536685927E-2</v>
      </c>
      <c r="AM214" s="98" t="str">
        <f t="shared" si="146"/>
        <v>1+1.2606732832825i</v>
      </c>
      <c r="AN214" s="98">
        <f t="shared" si="162"/>
        <v>1.6091293071665429</v>
      </c>
      <c r="AO214" s="98">
        <f t="shared" si="163"/>
        <v>0.90019897095535606</v>
      </c>
      <c r="AP214" s="168" t="str">
        <f t="shared" si="164"/>
        <v>-0.179294514305109+0.145903767813876i</v>
      </c>
      <c r="AQ214" s="98">
        <f t="shared" si="165"/>
        <v>-12.721788001155847</v>
      </c>
      <c r="AR214" s="169">
        <f t="shared" si="166"/>
        <v>140.86247791952749</v>
      </c>
      <c r="AS214" s="168" t="e">
        <f t="shared" si="167"/>
        <v>#DIV/0!</v>
      </c>
      <c r="AT214" s="190" t="e">
        <f t="shared" si="168"/>
        <v>#DIV/0!</v>
      </c>
      <c r="AU214" s="169" t="e">
        <f t="shared" si="169"/>
        <v>#DIV/0!</v>
      </c>
      <c r="AV214" s="225"/>
      <c r="AX214" t="e">
        <f t="shared" si="170"/>
        <v>#DIV/0!</v>
      </c>
      <c r="AY214" t="e">
        <f t="shared" si="171"/>
        <v>#DIV/0!</v>
      </c>
    </row>
    <row r="215" spans="14:51" x14ac:dyDescent="0.25">
      <c r="N215" s="170">
        <v>97</v>
      </c>
      <c r="O215" s="199">
        <f t="shared" si="137"/>
        <v>933.25430079699106</v>
      </c>
      <c r="P215" s="189" t="str">
        <f t="shared" si="138"/>
        <v>290</v>
      </c>
      <c r="Q215" s="160" t="e">
        <f t="shared" si="139"/>
        <v>#DIV/0!</v>
      </c>
      <c r="R215" s="160" t="e">
        <f t="shared" si="147"/>
        <v>#DIV/0!</v>
      </c>
      <c r="S215" s="160" t="e">
        <f t="shared" si="148"/>
        <v>#DIV/0!</v>
      </c>
      <c r="T215" s="160" t="e">
        <f t="shared" si="140"/>
        <v>#DIV/0!</v>
      </c>
      <c r="U215" s="160" t="e">
        <f t="shared" si="149"/>
        <v>#DIV/0!</v>
      </c>
      <c r="V215" s="160" t="e">
        <f t="shared" si="150"/>
        <v>#DIV/0!</v>
      </c>
      <c r="W215" s="98" t="str">
        <f t="shared" si="141"/>
        <v>1-0.0467272336315814i</v>
      </c>
      <c r="X215" s="160">
        <f t="shared" si="151"/>
        <v>1.0010911219079213</v>
      </c>
      <c r="Y215" s="160">
        <f t="shared" si="152"/>
        <v>-4.669326949969807E-2</v>
      </c>
      <c r="Z215" s="98" t="str">
        <f t="shared" si="142"/>
        <v>0.999982004884505+0.00554874346361895i</v>
      </c>
      <c r="AA215" s="160">
        <f t="shared" si="153"/>
        <v>0.99999739932004783</v>
      </c>
      <c r="AB215" s="160">
        <f t="shared" si="154"/>
        <v>5.5487863677436636E-3</v>
      </c>
      <c r="AC215" s="171" t="e">
        <f t="shared" si="155"/>
        <v>#DIV/0!</v>
      </c>
      <c r="AD215" s="190" t="e">
        <f t="shared" si="156"/>
        <v>#DIV/0!</v>
      </c>
      <c r="AE215" s="169" t="e">
        <f t="shared" si="157"/>
        <v>#DIV/0!</v>
      </c>
      <c r="AF215" s="98" t="str">
        <f t="shared" si="143"/>
        <v>-0.0000182926829268293</v>
      </c>
      <c r="AG215" s="98" t="str">
        <f t="shared" si="144"/>
        <v>0.000130293851770194i</v>
      </c>
      <c r="AH215" s="98">
        <f t="shared" si="158"/>
        <v>1.30293851770194E-4</v>
      </c>
      <c r="AI215" s="98">
        <f t="shared" si="159"/>
        <v>1.5707963267948966</v>
      </c>
      <c r="AJ215" s="98" t="str">
        <f t="shared" si="145"/>
        <v>1+0.0127726548152333i</v>
      </c>
      <c r="AK215" s="98">
        <f t="shared" si="160"/>
        <v>1.0000815670289245</v>
      </c>
      <c r="AL215" s="98">
        <f t="shared" si="161"/>
        <v>1.2771960303217849E-2</v>
      </c>
      <c r="AM215" s="98" t="str">
        <f t="shared" si="146"/>
        <v>1+1.29003813633856i</v>
      </c>
      <c r="AN215" s="98">
        <f t="shared" si="162"/>
        <v>1.6322372355781696</v>
      </c>
      <c r="AO215" s="98">
        <f t="shared" si="163"/>
        <v>0.91137950772804532</v>
      </c>
      <c r="AP215" s="168" t="str">
        <f t="shared" si="164"/>
        <v>-0.179293198042431+0.14268564576412i</v>
      </c>
      <c r="AQ215" s="98">
        <f t="shared" si="165"/>
        <v>-12.797973158738067</v>
      </c>
      <c r="AR215" s="169">
        <f t="shared" si="166"/>
        <v>141.48641990604446</v>
      </c>
      <c r="AS215" s="168" t="e">
        <f t="shared" si="167"/>
        <v>#DIV/0!</v>
      </c>
      <c r="AT215" s="190" t="e">
        <f t="shared" si="168"/>
        <v>#DIV/0!</v>
      </c>
      <c r="AU215" s="169" t="e">
        <f t="shared" si="169"/>
        <v>#DIV/0!</v>
      </c>
      <c r="AV215" s="225"/>
      <c r="AX215" t="e">
        <f t="shared" si="170"/>
        <v>#DIV/0!</v>
      </c>
      <c r="AY215" t="e">
        <f t="shared" si="171"/>
        <v>#DIV/0!</v>
      </c>
    </row>
    <row r="216" spans="14:51" x14ac:dyDescent="0.25">
      <c r="N216" s="170">
        <v>98</v>
      </c>
      <c r="O216" s="199">
        <f t="shared" si="137"/>
        <v>954.99258602143675</v>
      </c>
      <c r="P216" s="189" t="str">
        <f t="shared" si="138"/>
        <v>290</v>
      </c>
      <c r="Q216" s="160" t="e">
        <f t="shared" si="139"/>
        <v>#DIV/0!</v>
      </c>
      <c r="R216" s="160" t="e">
        <f t="shared" si="147"/>
        <v>#DIV/0!</v>
      </c>
      <c r="S216" s="160" t="e">
        <f t="shared" si="148"/>
        <v>#DIV/0!</v>
      </c>
      <c r="T216" s="160" t="e">
        <f t="shared" si="140"/>
        <v>#DIV/0!</v>
      </c>
      <c r="U216" s="160" t="e">
        <f t="shared" si="149"/>
        <v>#DIV/0!</v>
      </c>
      <c r="V216" s="160" t="e">
        <f t="shared" si="150"/>
        <v>#DIV/0!</v>
      </c>
      <c r="W216" s="98" t="str">
        <f t="shared" si="141"/>
        <v>1-0.0478156507238629i</v>
      </c>
      <c r="X216" s="160">
        <f t="shared" si="151"/>
        <v>1.0011425155561753</v>
      </c>
      <c r="Y216" s="160">
        <f t="shared" si="152"/>
        <v>-4.777925974360589E-2</v>
      </c>
      <c r="Z216" s="98" t="str">
        <f t="shared" si="142"/>
        <v>0.99998115680084+0.00567799030228492i</v>
      </c>
      <c r="AA216" s="160">
        <f t="shared" si="153"/>
        <v>0.99999727676160144</v>
      </c>
      <c r="AB216" s="160">
        <f t="shared" si="154"/>
        <v>5.6780362748714381E-3</v>
      </c>
      <c r="AC216" s="171" t="e">
        <f t="shared" si="155"/>
        <v>#DIV/0!</v>
      </c>
      <c r="AD216" s="190" t="e">
        <f t="shared" si="156"/>
        <v>#DIV/0!</v>
      </c>
      <c r="AE216" s="169" t="e">
        <f t="shared" si="157"/>
        <v>#DIV/0!</v>
      </c>
      <c r="AF216" s="98" t="str">
        <f t="shared" si="143"/>
        <v>-0.0000182926829268293</v>
      </c>
      <c r="AG216" s="98" t="str">
        <f t="shared" si="144"/>
        <v>0.000133328785453707i</v>
      </c>
      <c r="AH216" s="98">
        <f t="shared" si="158"/>
        <v>1.3332878545370701E-4</v>
      </c>
      <c r="AI216" s="98">
        <f t="shared" si="159"/>
        <v>1.5707963267948966</v>
      </c>
      <c r="AJ216" s="98" t="str">
        <f t="shared" si="145"/>
        <v>1+0.0130701681652492i</v>
      </c>
      <c r="AK216" s="98">
        <f t="shared" si="160"/>
        <v>1.0000854110004145</v>
      </c>
      <c r="AL216" s="98">
        <f t="shared" si="161"/>
        <v>1.3069423985649468E-2</v>
      </c>
      <c r="AM216" s="98" t="str">
        <f t="shared" si="146"/>
        <v>1+1.32008698469017i</v>
      </c>
      <c r="AN216" s="98">
        <f t="shared" si="162"/>
        <v>1.656088659205293</v>
      </c>
      <c r="AO216" s="98">
        <f t="shared" si="163"/>
        <v>0.92249605483438146</v>
      </c>
      <c r="AP216" s="168" t="str">
        <f t="shared" si="164"/>
        <v>-0.179291819766916+0.139543175947599i</v>
      </c>
      <c r="AQ216" s="98">
        <f t="shared" si="165"/>
        <v>-12.872000501520089</v>
      </c>
      <c r="AR216" s="169">
        <f t="shared" si="166"/>
        <v>142.10630772443417</v>
      </c>
      <c r="AS216" s="168" t="e">
        <f t="shared" si="167"/>
        <v>#DIV/0!</v>
      </c>
      <c r="AT216" s="190" t="e">
        <f t="shared" si="168"/>
        <v>#DIV/0!</v>
      </c>
      <c r="AU216" s="169" t="e">
        <f t="shared" si="169"/>
        <v>#DIV/0!</v>
      </c>
      <c r="AV216" s="225"/>
      <c r="AX216" t="e">
        <f t="shared" si="170"/>
        <v>#DIV/0!</v>
      </c>
      <c r="AY216" t="e">
        <f t="shared" si="171"/>
        <v>#DIV/0!</v>
      </c>
    </row>
    <row r="217" spans="14:51" x14ac:dyDescent="0.25">
      <c r="N217" s="170">
        <v>99</v>
      </c>
      <c r="O217" s="199">
        <f t="shared" si="137"/>
        <v>977.23722095581138</v>
      </c>
      <c r="P217" s="189" t="str">
        <f t="shared" si="138"/>
        <v>290</v>
      </c>
      <c r="Q217" s="160" t="e">
        <f t="shared" si="139"/>
        <v>#DIV/0!</v>
      </c>
      <c r="R217" s="160" t="e">
        <f t="shared" si="147"/>
        <v>#DIV/0!</v>
      </c>
      <c r="S217" s="160" t="e">
        <f t="shared" si="148"/>
        <v>#DIV/0!</v>
      </c>
      <c r="T217" s="160" t="e">
        <f t="shared" si="140"/>
        <v>#DIV/0!</v>
      </c>
      <c r="U217" s="160" t="e">
        <f t="shared" si="149"/>
        <v>#DIV/0!</v>
      </c>
      <c r="V217" s="160" t="e">
        <f t="shared" si="150"/>
        <v>#DIV/0!</v>
      </c>
      <c r="W217" s="98" t="str">
        <f t="shared" si="141"/>
        <v>1-0.0489294203070731i</v>
      </c>
      <c r="X217" s="160">
        <f t="shared" si="151"/>
        <v>1.0011963284848713</v>
      </c>
      <c r="Y217" s="160">
        <f t="shared" si="152"/>
        <v>-4.8890429185210832E-2</v>
      </c>
      <c r="Z217" s="98" t="str">
        <f t="shared" si="142"/>
        <v>0.999980268748223+0.00581024768656624i</v>
      </c>
      <c r="AA217" s="160">
        <f t="shared" si="153"/>
        <v>0.9999971484279081</v>
      </c>
      <c r="AB217" s="160">
        <f t="shared" si="154"/>
        <v>5.8102969470674292E-3</v>
      </c>
      <c r="AC217" s="171" t="e">
        <f t="shared" si="155"/>
        <v>#DIV/0!</v>
      </c>
      <c r="AD217" s="190" t="e">
        <f t="shared" si="156"/>
        <v>#DIV/0!</v>
      </c>
      <c r="AE217" s="169" t="e">
        <f t="shared" si="157"/>
        <v>#DIV/0!</v>
      </c>
      <c r="AF217" s="98" t="str">
        <f t="shared" si="143"/>
        <v>-0.0000182926829268293</v>
      </c>
      <c r="AG217" s="98" t="str">
        <f t="shared" si="144"/>
        <v>0.000136434411824083i</v>
      </c>
      <c r="AH217" s="98">
        <f t="shared" si="158"/>
        <v>1.36434411824083E-4</v>
      </c>
      <c r="AI217" s="98">
        <f t="shared" si="159"/>
        <v>1.5707963267948966</v>
      </c>
      <c r="AJ217" s="98" t="str">
        <f t="shared" si="145"/>
        <v>1+0.0133746114914306i</v>
      </c>
      <c r="AK217" s="98">
        <f t="shared" si="160"/>
        <v>1.0000894361168637</v>
      </c>
      <c r="AL217" s="98">
        <f t="shared" si="161"/>
        <v>1.3373814092474262E-2</v>
      </c>
      <c r="AM217" s="98" t="str">
        <f t="shared" si="146"/>
        <v>1+1.35083576063448i</v>
      </c>
      <c r="AN217" s="98">
        <f t="shared" si="162"/>
        <v>1.6807014167331846</v>
      </c>
      <c r="AO217" s="98">
        <f t="shared" si="163"/>
        <v>0.93354351684166137</v>
      </c>
      <c r="AP217" s="168" t="str">
        <f t="shared" si="164"/>
        <v>-0.179290376557989+0.136474692071916i</v>
      </c>
      <c r="AQ217" s="98">
        <f t="shared" si="165"/>
        <v>-12.943895800197673</v>
      </c>
      <c r="AR217" s="169">
        <f t="shared" si="166"/>
        <v>142.72184040333599</v>
      </c>
      <c r="AS217" s="168" t="e">
        <f t="shared" si="167"/>
        <v>#DIV/0!</v>
      </c>
      <c r="AT217" s="190" t="e">
        <f t="shared" si="168"/>
        <v>#DIV/0!</v>
      </c>
      <c r="AU217" s="169" t="e">
        <f t="shared" si="169"/>
        <v>#DIV/0!</v>
      </c>
      <c r="AV217" s="225"/>
      <c r="AX217" t="e">
        <f t="shared" si="170"/>
        <v>#DIV/0!</v>
      </c>
      <c r="AY217" t="e">
        <f t="shared" si="171"/>
        <v>#DIV/0!</v>
      </c>
    </row>
    <row r="218" spans="14:51" x14ac:dyDescent="0.25">
      <c r="N218" s="170">
        <v>100</v>
      </c>
      <c r="O218" s="199">
        <f t="shared" si="137"/>
        <v>1000</v>
      </c>
      <c r="P218" s="189" t="str">
        <f t="shared" si="138"/>
        <v>290</v>
      </c>
      <c r="Q218" s="160" t="e">
        <f t="shared" si="139"/>
        <v>#DIV/0!</v>
      </c>
      <c r="R218" s="160" t="e">
        <f t="shared" si="147"/>
        <v>#DIV/0!</v>
      </c>
      <c r="S218" s="160" t="e">
        <f t="shared" si="148"/>
        <v>#DIV/0!</v>
      </c>
      <c r="T218" s="160" t="e">
        <f t="shared" si="140"/>
        <v>#DIV/0!</v>
      </c>
      <c r="U218" s="160" t="e">
        <f t="shared" si="149"/>
        <v>#DIV/0!</v>
      </c>
      <c r="V218" s="160" t="e">
        <f t="shared" si="150"/>
        <v>#DIV/0!</v>
      </c>
      <c r="W218" s="98" t="str">
        <f t="shared" si="141"/>
        <v>1-0.0500691329165875i</v>
      </c>
      <c r="X218" s="160">
        <f t="shared" si="151"/>
        <v>1.0012526744388845</v>
      </c>
      <c r="Y218" s="160">
        <f t="shared" si="152"/>
        <v>-5.0027355999355885E-2</v>
      </c>
      <c r="Z218" s="98" t="str">
        <f t="shared" si="142"/>
        <v>0.999979338842975+0.0059455857410787i</v>
      </c>
      <c r="AA218" s="160">
        <f t="shared" si="153"/>
        <v>0.99999701404686092</v>
      </c>
      <c r="AB218" s="160">
        <f t="shared" si="154"/>
        <v>5.9456385246423795E-3</v>
      </c>
      <c r="AC218" s="171" t="e">
        <f t="shared" si="155"/>
        <v>#DIV/0!</v>
      </c>
      <c r="AD218" s="190" t="e">
        <f t="shared" si="156"/>
        <v>#DIV/0!</v>
      </c>
      <c r="AE218" s="169" t="e">
        <f t="shared" si="157"/>
        <v>#DIV/0!</v>
      </c>
      <c r="AF218" s="98" t="str">
        <f t="shared" si="143"/>
        <v>-0.0000182926829268293</v>
      </c>
      <c r="AG218" s="98" t="str">
        <f t="shared" si="144"/>
        <v>0.00013961237752553i</v>
      </c>
      <c r="AH218" s="98">
        <f t="shared" si="158"/>
        <v>1.3961237752552999E-4</v>
      </c>
      <c r="AI218" s="98">
        <f t="shared" si="159"/>
        <v>1.5707963267948966</v>
      </c>
      <c r="AJ218" s="98" t="str">
        <f t="shared" si="145"/>
        <v>1+0.0136861462136585i</v>
      </c>
      <c r="AK218" s="98">
        <f t="shared" si="160"/>
        <v>1.0000936509138441</v>
      </c>
      <c r="AL218" s="98">
        <f t="shared" si="161"/>
        <v>1.3685291789604027E-2</v>
      </c>
      <c r="AM218" s="98" t="str">
        <f t="shared" si="146"/>
        <v>1+1.38230076757951i</v>
      </c>
      <c r="AN218" s="98">
        <f t="shared" si="162"/>
        <v>1.7060936117490455</v>
      </c>
      <c r="AO218" s="98">
        <f t="shared" si="163"/>
        <v>0.944516965222156</v>
      </c>
      <c r="AP218" s="168" t="str">
        <f t="shared" si="164"/>
        <v>-0.179288865357625+0.133478567064902i</v>
      </c>
      <c r="AQ218" s="98">
        <f t="shared" si="165"/>
        <v>-13.013686592948364</v>
      </c>
      <c r="AR218" s="169">
        <f t="shared" si="166"/>
        <v>143.33272632478489</v>
      </c>
      <c r="AS218" s="168" t="e">
        <f t="shared" si="167"/>
        <v>#DIV/0!</v>
      </c>
      <c r="AT218" s="190" t="e">
        <f t="shared" si="168"/>
        <v>#DIV/0!</v>
      </c>
      <c r="AU218" s="169" t="e">
        <f t="shared" si="169"/>
        <v>#DIV/0!</v>
      </c>
      <c r="AV218" s="225"/>
      <c r="AX218" t="e">
        <f t="shared" si="170"/>
        <v>#DIV/0!</v>
      </c>
      <c r="AY218" t="e">
        <f t="shared" si="171"/>
        <v>#DIV/0!</v>
      </c>
    </row>
    <row r="219" spans="14:51" x14ac:dyDescent="0.25">
      <c r="N219" s="170">
        <v>1</v>
      </c>
      <c r="O219" s="199">
        <f>10^(3+(N219/100))</f>
        <v>1023.2929922807547</v>
      </c>
      <c r="P219" s="189" t="str">
        <f t="shared" si="138"/>
        <v>290</v>
      </c>
      <c r="Q219" s="160" t="e">
        <f t="shared" si="139"/>
        <v>#DIV/0!</v>
      </c>
      <c r="R219" s="160" t="e">
        <f t="shared" si="147"/>
        <v>#DIV/0!</v>
      </c>
      <c r="S219" s="160" t="e">
        <f t="shared" si="148"/>
        <v>#DIV/0!</v>
      </c>
      <c r="T219" s="160" t="e">
        <f t="shared" si="140"/>
        <v>#DIV/0!</v>
      </c>
      <c r="U219" s="160" t="e">
        <f t="shared" si="149"/>
        <v>#DIV/0!</v>
      </c>
      <c r="V219" s="160" t="e">
        <f t="shared" si="150"/>
        <v>#DIV/0!</v>
      </c>
      <c r="W219" s="98" t="str">
        <f t="shared" si="141"/>
        <v>1-0.0512353928431176i</v>
      </c>
      <c r="X219" s="160">
        <f t="shared" si="151"/>
        <v>1.001311672497524</v>
      </c>
      <c r="Y219" s="160">
        <f t="shared" si="152"/>
        <v>-5.1190631236252462E-2</v>
      </c>
      <c r="Z219" s="98" t="str">
        <f t="shared" si="142"/>
        <v>0.999978365112644+0.0060840762238502i</v>
      </c>
      <c r="AA219" s="160">
        <f t="shared" si="153"/>
        <v>0.99999687333353904</v>
      </c>
      <c r="AB219" s="160">
        <f t="shared" si="154"/>
        <v>6.0841327824415941E-3</v>
      </c>
      <c r="AC219" s="171" t="e">
        <f t="shared" si="155"/>
        <v>#DIV/0!</v>
      </c>
      <c r="AD219" s="190" t="e">
        <f t="shared" si="156"/>
        <v>#DIV/0!</v>
      </c>
      <c r="AE219" s="169" t="e">
        <f t="shared" si="157"/>
        <v>#DIV/0!</v>
      </c>
      <c r="AF219" s="98" t="str">
        <f t="shared" si="143"/>
        <v>-0.0000182926829268293</v>
      </c>
      <c r="AG219" s="98" t="str">
        <f t="shared" si="144"/>
        <v>0.00014286436755753i</v>
      </c>
      <c r="AH219" s="98">
        <f t="shared" si="158"/>
        <v>1.4286436755752999E-4</v>
      </c>
      <c r="AI219" s="98">
        <f t="shared" si="159"/>
        <v>1.5707963267948966</v>
      </c>
      <c r="AJ219" s="98" t="str">
        <f t="shared" si="145"/>
        <v>1+0.0140049375117665i</v>
      </c>
      <c r="AK219" s="98">
        <f t="shared" si="160"/>
        <v>1.0000980643290478</v>
      </c>
      <c r="AL219" s="98">
        <f t="shared" si="161"/>
        <v>1.40040219847457E-2</v>
      </c>
      <c r="AM219" s="98" t="str">
        <f t="shared" si="146"/>
        <v>1+1.41449868868842i</v>
      </c>
      <c r="AN219" s="98">
        <f t="shared" si="162"/>
        <v>1.7322836200522305</v>
      </c>
      <c r="AO219" s="98">
        <f t="shared" si="163"/>
        <v>0.95541164745645479</v>
      </c>
      <c r="AP219" s="168" t="str">
        <f t="shared" si="164"/>
        <v>-0.179287282963885+0.130553212211334i</v>
      </c>
      <c r="AQ219" s="98">
        <f t="shared" si="165"/>
        <v>-13.081402083049774</v>
      </c>
      <c r="AR219" s="169">
        <f t="shared" si="166"/>
        <v>143.93868374096152</v>
      </c>
      <c r="AS219" s="168" t="e">
        <f t="shared" si="167"/>
        <v>#DIV/0!</v>
      </c>
      <c r="AT219" s="190" t="e">
        <f t="shared" si="168"/>
        <v>#DIV/0!</v>
      </c>
      <c r="AU219" s="169" t="e">
        <f t="shared" si="169"/>
        <v>#DIV/0!</v>
      </c>
      <c r="AV219" s="225"/>
      <c r="AX219" t="e">
        <f t="shared" si="170"/>
        <v>#DIV/0!</v>
      </c>
      <c r="AY219" t="e">
        <f t="shared" si="171"/>
        <v>#DIV/0!</v>
      </c>
    </row>
    <row r="220" spans="14:51" x14ac:dyDescent="0.25">
      <c r="N220" s="170">
        <v>2</v>
      </c>
      <c r="O220" s="199">
        <f t="shared" ref="O220:O283" si="172">10^(3+(N220/100))</f>
        <v>1047.1285480509</v>
      </c>
      <c r="P220" s="189" t="str">
        <f t="shared" si="138"/>
        <v>290</v>
      </c>
      <c r="Q220" s="160" t="e">
        <f t="shared" si="139"/>
        <v>#DIV/0!</v>
      </c>
      <c r="R220" s="160" t="e">
        <f t="shared" si="147"/>
        <v>#DIV/0!</v>
      </c>
      <c r="S220" s="160" t="e">
        <f t="shared" si="148"/>
        <v>#DIV/0!</v>
      </c>
      <c r="T220" s="160" t="e">
        <f t="shared" si="140"/>
        <v>#DIV/0!</v>
      </c>
      <c r="U220" s="160" t="e">
        <f t="shared" si="149"/>
        <v>#DIV/0!</v>
      </c>
      <c r="V220" s="160" t="e">
        <f t="shared" si="150"/>
        <v>#DIV/0!</v>
      </c>
      <c r="W220" s="98" t="str">
        <f t="shared" si="141"/>
        <v>1-0.0524288184531138i</v>
      </c>
      <c r="X220" s="160">
        <f t="shared" si="151"/>
        <v>1.0013734473234197</v>
      </c>
      <c r="Y220" s="160">
        <f t="shared" si="152"/>
        <v>-5.2380859079440699E-2</v>
      </c>
      <c r="Z220" s="98" t="str">
        <f t="shared" si="142"/>
        <v>0.999977345491815+0.00622579256436787i</v>
      </c>
      <c r="AA220" s="160">
        <f t="shared" si="153"/>
        <v>0.99999672598959621</v>
      </c>
      <c r="AB220" s="160">
        <f t="shared" si="154"/>
        <v>6.2258531679723833E-3</v>
      </c>
      <c r="AC220" s="171" t="e">
        <f t="shared" si="155"/>
        <v>#DIV/0!</v>
      </c>
      <c r="AD220" s="190" t="e">
        <f t="shared" si="156"/>
        <v>#DIV/0!</v>
      </c>
      <c r="AE220" s="169" t="e">
        <f t="shared" si="157"/>
        <v>#DIV/0!</v>
      </c>
      <c r="AF220" s="98" t="str">
        <f t="shared" si="143"/>
        <v>-0.0000182926829268293</v>
      </c>
      <c r="AG220" s="98" t="str">
        <f t="shared" si="144"/>
        <v>0.000146192106168243i</v>
      </c>
      <c r="AH220" s="98">
        <f t="shared" si="158"/>
        <v>1.4619210616824299E-4</v>
      </c>
      <c r="AI220" s="98">
        <f t="shared" si="159"/>
        <v>1.5707963267948966</v>
      </c>
      <c r="AJ220" s="98" t="str">
        <f t="shared" si="145"/>
        <v>1+0.0143311544131206i</v>
      </c>
      <c r="AK220" s="98">
        <f t="shared" si="160"/>
        <v>1.0001026857212276</v>
      </c>
      <c r="AL220" s="98">
        <f t="shared" si="161"/>
        <v>1.4330173413683303E-2</v>
      </c>
      <c r="AM220" s="98" t="str">
        <f t="shared" si="146"/>
        <v>1+1.44744659572517i</v>
      </c>
      <c r="AN220" s="98">
        <f t="shared" si="162"/>
        <v>1.759290097589475</v>
      </c>
      <c r="AO220" s="98">
        <f t="shared" si="163"/>
        <v>0.96622299517093524</v>
      </c>
      <c r="AP220" s="168" t="str">
        <f t="shared" si="164"/>
        <v>-0.179285626024161+0.12769707630997i</v>
      </c>
      <c r="AQ220" s="98">
        <f t="shared" si="165"/>
        <v>-13.147073032572887</v>
      </c>
      <c r="AR220" s="169">
        <f t="shared" si="166"/>
        <v>144.53944123548925</v>
      </c>
      <c r="AS220" s="168" t="e">
        <f t="shared" si="167"/>
        <v>#DIV/0!</v>
      </c>
      <c r="AT220" s="190" t="e">
        <f t="shared" si="168"/>
        <v>#DIV/0!</v>
      </c>
      <c r="AU220" s="169" t="e">
        <f t="shared" si="169"/>
        <v>#DIV/0!</v>
      </c>
      <c r="AV220" s="225"/>
      <c r="AX220" t="e">
        <f t="shared" si="170"/>
        <v>#DIV/0!</v>
      </c>
      <c r="AY220" t="e">
        <f t="shared" si="171"/>
        <v>#DIV/0!</v>
      </c>
    </row>
    <row r="221" spans="14:51" x14ac:dyDescent="0.25">
      <c r="N221" s="170">
        <v>3</v>
      </c>
      <c r="O221" s="199">
        <f t="shared" si="172"/>
        <v>1071.5193052376069</v>
      </c>
      <c r="P221" s="189" t="str">
        <f t="shared" si="138"/>
        <v>290</v>
      </c>
      <c r="Q221" s="160" t="e">
        <f t="shared" si="139"/>
        <v>#DIV/0!</v>
      </c>
      <c r="R221" s="160" t="e">
        <f t="shared" si="147"/>
        <v>#DIV/0!</v>
      </c>
      <c r="S221" s="160" t="e">
        <f t="shared" si="148"/>
        <v>#DIV/0!</v>
      </c>
      <c r="T221" s="160" t="e">
        <f t="shared" si="140"/>
        <v>#DIV/0!</v>
      </c>
      <c r="U221" s="160" t="e">
        <f t="shared" si="149"/>
        <v>#DIV/0!</v>
      </c>
      <c r="V221" s="160" t="e">
        <f t="shared" si="150"/>
        <v>#DIV/0!</v>
      </c>
      <c r="W221" s="98" t="str">
        <f t="shared" si="141"/>
        <v>1-0.0536500425166312i</v>
      </c>
      <c r="X221" s="160">
        <f t="shared" si="151"/>
        <v>1.0014381294228996</v>
      </c>
      <c r="Y221" s="160">
        <f t="shared" si="152"/>
        <v>-5.3598657106806509E-2</v>
      </c>
      <c r="Z221" s="98" t="str">
        <f t="shared" si="142"/>
        <v>0.999976277817738+0.00637080990251126i</v>
      </c>
      <c r="AA221" s="160">
        <f t="shared" si="153"/>
        <v>0.99999657170263923</v>
      </c>
      <c r="AB221" s="160">
        <f t="shared" si="154"/>
        <v>6.3708748404232114E-3</v>
      </c>
      <c r="AC221" s="171" t="e">
        <f t="shared" si="155"/>
        <v>#DIV/0!</v>
      </c>
      <c r="AD221" s="190" t="e">
        <f t="shared" si="156"/>
        <v>#DIV/0!</v>
      </c>
      <c r="AE221" s="169" t="e">
        <f t="shared" si="157"/>
        <v>#DIV/0!</v>
      </c>
      <c r="AF221" s="98" t="str">
        <f t="shared" si="143"/>
        <v>-0.0000182926829268293</v>
      </c>
      <c r="AG221" s="98" t="str">
        <f t="shared" si="144"/>
        <v>0.000149597357768727i</v>
      </c>
      <c r="AH221" s="98">
        <f t="shared" si="158"/>
        <v>1.4959735776872701E-4</v>
      </c>
      <c r="AI221" s="98">
        <f t="shared" si="159"/>
        <v>1.5707963267948966</v>
      </c>
      <c r="AJ221" s="98" t="str">
        <f t="shared" si="145"/>
        <v>1+0.0146649698822397i</v>
      </c>
      <c r="AK221" s="98">
        <f t="shared" si="160"/>
        <v>1.0001075248900224</v>
      </c>
      <c r="AL221" s="98">
        <f t="shared" si="161"/>
        <v>1.4663918728507856E-2</v>
      </c>
      <c r="AM221" s="98" t="str">
        <f t="shared" si="146"/>
        <v>1+1.4811619581062i</v>
      </c>
      <c r="AN221" s="98">
        <f t="shared" si="162"/>
        <v>1.7871319890094837</v>
      </c>
      <c r="AO221" s="98">
        <f t="shared" si="163"/>
        <v>0.97694663129139736</v>
      </c>
      <c r="AP221" s="168" t="str">
        <f t="shared" si="164"/>
        <v>-0.179283891028101+0.124908644850409i</v>
      </c>
      <c r="AQ221" s="98">
        <f t="shared" si="165"/>
        <v>-13.210731652928423</v>
      </c>
      <c r="AR221" s="169">
        <f t="shared" si="166"/>
        <v>145.13473812825404</v>
      </c>
      <c r="AS221" s="168" t="e">
        <f t="shared" si="167"/>
        <v>#DIV/0!</v>
      </c>
      <c r="AT221" s="190" t="e">
        <f t="shared" si="168"/>
        <v>#DIV/0!</v>
      </c>
      <c r="AU221" s="169" t="e">
        <f t="shared" si="169"/>
        <v>#DIV/0!</v>
      </c>
      <c r="AV221" s="225"/>
      <c r="AX221" t="e">
        <f t="shared" si="170"/>
        <v>#DIV/0!</v>
      </c>
      <c r="AY221" t="e">
        <f t="shared" si="171"/>
        <v>#DIV/0!</v>
      </c>
    </row>
    <row r="222" spans="14:51" x14ac:dyDescent="0.25">
      <c r="N222" s="170">
        <v>4</v>
      </c>
      <c r="O222" s="199">
        <f t="shared" si="172"/>
        <v>1096.4781961431863</v>
      </c>
      <c r="P222" s="189" t="str">
        <f t="shared" si="138"/>
        <v>290</v>
      </c>
      <c r="Q222" s="160" t="e">
        <f t="shared" si="139"/>
        <v>#DIV/0!</v>
      </c>
      <c r="R222" s="160" t="e">
        <f t="shared" si="147"/>
        <v>#DIV/0!</v>
      </c>
      <c r="S222" s="160" t="e">
        <f t="shared" si="148"/>
        <v>#DIV/0!</v>
      </c>
      <c r="T222" s="160" t="e">
        <f t="shared" si="140"/>
        <v>#DIV/0!</v>
      </c>
      <c r="U222" s="160" t="e">
        <f t="shared" si="149"/>
        <v>#DIV/0!</v>
      </c>
      <c r="V222" s="160" t="e">
        <f t="shared" si="150"/>
        <v>#DIV/0!</v>
      </c>
      <c r="W222" s="98" t="str">
        <f t="shared" si="141"/>
        <v>1-0.0548997125428332i</v>
      </c>
      <c r="X222" s="160">
        <f t="shared" si="151"/>
        <v>1.0015058554183724</v>
      </c>
      <c r="Y222" s="160">
        <f t="shared" si="152"/>
        <v>-5.484465655452235E-2</v>
      </c>
      <c r="Z222" s="98" t="str">
        <f t="shared" si="142"/>
        <v>0.999975159825731+0.00651920512839261i</v>
      </c>
      <c r="AA222" s="160">
        <f t="shared" si="153"/>
        <v>0.99999641014555785</v>
      </c>
      <c r="AB222" s="160">
        <f t="shared" si="154"/>
        <v>6.5192747105961915E-3</v>
      </c>
      <c r="AC222" s="171" t="e">
        <f t="shared" si="155"/>
        <v>#DIV/0!</v>
      </c>
      <c r="AD222" s="190" t="e">
        <f t="shared" si="156"/>
        <v>#DIV/0!</v>
      </c>
      <c r="AE222" s="169" t="e">
        <f t="shared" si="157"/>
        <v>#DIV/0!</v>
      </c>
      <c r="AF222" s="98" t="str">
        <f t="shared" si="143"/>
        <v>-0.0000182926829268293</v>
      </c>
      <c r="AG222" s="98" t="str">
        <f t="shared" si="144"/>
        <v>0.000153081927868455i</v>
      </c>
      <c r="AH222" s="98">
        <f t="shared" si="158"/>
        <v>1.5308192786845501E-4</v>
      </c>
      <c r="AI222" s="98">
        <f t="shared" si="159"/>
        <v>1.5707963267948966</v>
      </c>
      <c r="AJ222" s="98" t="str">
        <f t="shared" si="145"/>
        <v>1+0.0150065609125042i</v>
      </c>
      <c r="AK222" s="98">
        <f t="shared" si="160"/>
        <v>1.0001125920967202</v>
      </c>
      <c r="AL222" s="98">
        <f t="shared" si="161"/>
        <v>1.5005434587836066E-2</v>
      </c>
      <c r="AM222" s="98" t="str">
        <f t="shared" si="146"/>
        <v>1+1.51566265216292i</v>
      </c>
      <c r="AN222" s="98">
        <f t="shared" si="162"/>
        <v>1.8158285368287217</v>
      </c>
      <c r="AO222" s="98">
        <f t="shared" si="163"/>
        <v>0.98757837620396616</v>
      </c>
      <c r="AP222" s="168" t="str">
        <f t="shared" si="164"/>
        <v>-0.179282074300187+0.122186439209367i</v>
      </c>
      <c r="AQ222" s="98">
        <f t="shared" si="165"/>
        <v>-13.272411493038526</v>
      </c>
      <c r="AR222" s="169">
        <f t="shared" si="166"/>
        <v>145.72432482322768</v>
      </c>
      <c r="AS222" s="168" t="e">
        <f t="shared" si="167"/>
        <v>#DIV/0!</v>
      </c>
      <c r="AT222" s="190" t="e">
        <f t="shared" si="168"/>
        <v>#DIV/0!</v>
      </c>
      <c r="AU222" s="169" t="e">
        <f t="shared" si="169"/>
        <v>#DIV/0!</v>
      </c>
      <c r="AV222" s="225"/>
      <c r="AX222" t="e">
        <f t="shared" si="170"/>
        <v>#DIV/0!</v>
      </c>
      <c r="AY222" t="e">
        <f t="shared" si="171"/>
        <v>#DIV/0!</v>
      </c>
    </row>
    <row r="223" spans="14:51" x14ac:dyDescent="0.25">
      <c r="N223" s="170">
        <v>5</v>
      </c>
      <c r="O223" s="199">
        <f t="shared" si="172"/>
        <v>1122.0184543019636</v>
      </c>
      <c r="P223" s="189" t="str">
        <f t="shared" si="138"/>
        <v>290</v>
      </c>
      <c r="Q223" s="160" t="e">
        <f t="shared" si="139"/>
        <v>#DIV/0!</v>
      </c>
      <c r="R223" s="160" t="e">
        <f t="shared" si="147"/>
        <v>#DIV/0!</v>
      </c>
      <c r="S223" s="160" t="e">
        <f t="shared" si="148"/>
        <v>#DIV/0!</v>
      </c>
      <c r="T223" s="160" t="e">
        <f t="shared" si="140"/>
        <v>#DIV/0!</v>
      </c>
      <c r="U223" s="160" t="e">
        <f t="shared" si="149"/>
        <v>#DIV/0!</v>
      </c>
      <c r="V223" s="160" t="e">
        <f t="shared" si="150"/>
        <v>#DIV/0!</v>
      </c>
      <c r="W223" s="98" t="str">
        <f t="shared" si="141"/>
        <v>1-0.0561784911233091i</v>
      </c>
      <c r="X223" s="160">
        <f t="shared" si="151"/>
        <v>1.0015767683332575</v>
      </c>
      <c r="Y223" s="160">
        <f t="shared" si="152"/>
        <v>-5.6119502583758855E-2</v>
      </c>
      <c r="Z223" s="98" t="str">
        <f t="shared" si="142"/>
        <v>0.999973989144384+0.00667105692312491i</v>
      </c>
      <c r="AA223" s="160">
        <f t="shared" si="153"/>
        <v>0.99999624097583684</v>
      </c>
      <c r="AB223" s="160">
        <f t="shared" si="154"/>
        <v>6.6711314817738607E-3</v>
      </c>
      <c r="AC223" s="171" t="e">
        <f t="shared" si="155"/>
        <v>#DIV/0!</v>
      </c>
      <c r="AD223" s="190" t="e">
        <f t="shared" si="156"/>
        <v>#DIV/0!</v>
      </c>
      <c r="AE223" s="169" t="e">
        <f t="shared" si="157"/>
        <v>#DIV/0!</v>
      </c>
      <c r="AF223" s="98" t="str">
        <f t="shared" si="143"/>
        <v>-0.0000182926829268293</v>
      </c>
      <c r="AG223" s="98" t="str">
        <f t="shared" si="144"/>
        <v>0.000156647664032618i</v>
      </c>
      <c r="AH223" s="98">
        <f t="shared" si="158"/>
        <v>1.56647664032618E-4</v>
      </c>
      <c r="AI223" s="98">
        <f t="shared" si="159"/>
        <v>1.5707963267948966</v>
      </c>
      <c r="AJ223" s="98" t="str">
        <f t="shared" si="145"/>
        <v>1+0.0153561086199998i</v>
      </c>
      <c r="AK223" s="98">
        <f t="shared" si="160"/>
        <v>1.0001178980859953</v>
      </c>
      <c r="AL223" s="98">
        <f t="shared" si="161"/>
        <v>1.5354901749057745E-2</v>
      </c>
      <c r="AM223" s="98" t="str">
        <f t="shared" si="146"/>
        <v>1+1.55096697061998i</v>
      </c>
      <c r="AN223" s="98">
        <f t="shared" si="162"/>
        <v>1.8453992911980102</v>
      </c>
      <c r="AO223" s="98">
        <f t="shared" si="163"/>
        <v>0.99811425292310751</v>
      </c>
      <c r="AP223" s="168" t="str">
        <f t="shared" si="164"/>
        <v>-0.179280171991985+0.119529015865931i</v>
      </c>
      <c r="AQ223" s="98">
        <f t="shared" si="165"/>
        <v>-13.332147325892727</v>
      </c>
      <c r="AR223" s="169">
        <f t="shared" si="166"/>
        <v>146.30796309928817</v>
      </c>
      <c r="AS223" s="168" t="e">
        <f t="shared" si="167"/>
        <v>#DIV/0!</v>
      </c>
      <c r="AT223" s="190" t="e">
        <f t="shared" si="168"/>
        <v>#DIV/0!</v>
      </c>
      <c r="AU223" s="169" t="e">
        <f t="shared" si="169"/>
        <v>#DIV/0!</v>
      </c>
      <c r="AV223" s="225"/>
      <c r="AX223" t="e">
        <f t="shared" si="170"/>
        <v>#DIV/0!</v>
      </c>
      <c r="AY223" t="e">
        <f t="shared" si="171"/>
        <v>#DIV/0!</v>
      </c>
    </row>
    <row r="224" spans="14:51" x14ac:dyDescent="0.25">
      <c r="N224" s="170">
        <v>6</v>
      </c>
      <c r="O224" s="199">
        <f t="shared" si="172"/>
        <v>1148.1536214968839</v>
      </c>
      <c r="P224" s="189" t="str">
        <f t="shared" si="138"/>
        <v>290</v>
      </c>
      <c r="Q224" s="160" t="e">
        <f t="shared" si="139"/>
        <v>#DIV/0!</v>
      </c>
      <c r="R224" s="160" t="e">
        <f t="shared" si="147"/>
        <v>#DIV/0!</v>
      </c>
      <c r="S224" s="160" t="e">
        <f t="shared" si="148"/>
        <v>#DIV/0!</v>
      </c>
      <c r="T224" s="160" t="e">
        <f t="shared" si="140"/>
        <v>#DIV/0!</v>
      </c>
      <c r="U224" s="160" t="e">
        <f t="shared" si="149"/>
        <v>#DIV/0!</v>
      </c>
      <c r="V224" s="160" t="e">
        <f t="shared" si="150"/>
        <v>#DIV/0!</v>
      </c>
      <c r="W224" s="98" t="str">
        <f t="shared" si="141"/>
        <v>1-0.0574870562833887i</v>
      </c>
      <c r="X224" s="160">
        <f t="shared" si="151"/>
        <v>1.0016510178900282</v>
      </c>
      <c r="Y224" s="160">
        <f t="shared" si="152"/>
        <v>-5.7423854549998765E-2</v>
      </c>
      <c r="Z224" s="98" t="str">
        <f t="shared" si="142"/>
        <v>0.999972763290526+0.00682644580053973i</v>
      </c>
      <c r="AA224" s="160">
        <f t="shared" si="153"/>
        <v>0.99999606383483242</v>
      </c>
      <c r="AB224" s="160">
        <f t="shared" si="154"/>
        <v>6.8265256915428472E-3</v>
      </c>
      <c r="AC224" s="171" t="e">
        <f t="shared" si="155"/>
        <v>#DIV/0!</v>
      </c>
      <c r="AD224" s="190" t="e">
        <f t="shared" si="156"/>
        <v>#DIV/0!</v>
      </c>
      <c r="AE224" s="169" t="e">
        <f t="shared" si="157"/>
        <v>#DIV/0!</v>
      </c>
      <c r="AF224" s="98" t="str">
        <f t="shared" si="143"/>
        <v>-0.0000182926829268293</v>
      </c>
      <c r="AG224" s="98" t="str">
        <f t="shared" si="144"/>
        <v>0.000160296456861728i</v>
      </c>
      <c r="AH224" s="98">
        <f t="shared" si="158"/>
        <v>1.6029645686172801E-4</v>
      </c>
      <c r="AI224" s="98">
        <f t="shared" si="159"/>
        <v>1.5707963267948966</v>
      </c>
      <c r="AJ224" s="98" t="str">
        <f t="shared" si="145"/>
        <v>1+0.0157137983395479i</v>
      </c>
      <c r="AK224" s="98">
        <f t="shared" si="160"/>
        <v>1.0001234541086697</v>
      </c>
      <c r="AL224" s="98">
        <f t="shared" si="161"/>
        <v>1.5712505162655807E-2</v>
      </c>
      <c r="AM224" s="98" t="str">
        <f t="shared" si="146"/>
        <v>1+1.58709363229433i</v>
      </c>
      <c r="AN224" s="98">
        <f t="shared" si="162"/>
        <v>1.8758641202574375</v>
      </c>
      <c r="AO224" s="98">
        <f t="shared" si="163"/>
        <v>1.0085504912748695</v>
      </c>
      <c r="AP224" s="168" t="str">
        <f t="shared" si="164"/>
        <v>-0.179278180074027+0.116934965635368i</v>
      </c>
      <c r="AQ224" s="98">
        <f t="shared" si="165"/>
        <v>-13.389975034228501</v>
      </c>
      <c r="AR224" s="169">
        <f t="shared" si="166"/>
        <v>146.88542634449803</v>
      </c>
      <c r="AS224" s="168" t="e">
        <f t="shared" si="167"/>
        <v>#DIV/0!</v>
      </c>
      <c r="AT224" s="190" t="e">
        <f t="shared" si="168"/>
        <v>#DIV/0!</v>
      </c>
      <c r="AU224" s="169" t="e">
        <f t="shared" si="169"/>
        <v>#DIV/0!</v>
      </c>
      <c r="AV224" s="225"/>
      <c r="AX224" t="e">
        <f t="shared" si="170"/>
        <v>#DIV/0!</v>
      </c>
      <c r="AY224" t="e">
        <f t="shared" si="171"/>
        <v>#DIV/0!</v>
      </c>
    </row>
    <row r="225" spans="14:51" x14ac:dyDescent="0.25">
      <c r="N225" s="170">
        <v>7</v>
      </c>
      <c r="O225" s="199">
        <f t="shared" si="172"/>
        <v>1174.8975549395295</v>
      </c>
      <c r="P225" s="189" t="str">
        <f t="shared" si="138"/>
        <v>290</v>
      </c>
      <c r="Q225" s="160" t="e">
        <f t="shared" si="139"/>
        <v>#DIV/0!</v>
      </c>
      <c r="R225" s="160" t="e">
        <f t="shared" si="147"/>
        <v>#DIV/0!</v>
      </c>
      <c r="S225" s="160" t="e">
        <f t="shared" si="148"/>
        <v>#DIV/0!</v>
      </c>
      <c r="T225" s="160" t="e">
        <f t="shared" si="140"/>
        <v>#DIV/0!</v>
      </c>
      <c r="U225" s="160" t="e">
        <f t="shared" si="149"/>
        <v>#DIV/0!</v>
      </c>
      <c r="V225" s="160" t="e">
        <f t="shared" si="150"/>
        <v>#DIV/0!</v>
      </c>
      <c r="W225" s="98" t="str">
        <f t="shared" si="141"/>
        <v>1-0.0588261018416409i</v>
      </c>
      <c r="X225" s="160">
        <f t="shared" si="151"/>
        <v>1.0017287608219518</v>
      </c>
      <c r="Y225" s="160">
        <f t="shared" si="152"/>
        <v>-5.8758386274764457E-2</v>
      </c>
      <c r="Z225" s="98" t="str">
        <f t="shared" si="142"/>
        <v>0.999971479663954+0.00698545414987669i</v>
      </c>
      <c r="AA225" s="160">
        <f t="shared" si="153"/>
        <v>0.99999587834700487</v>
      </c>
      <c r="AB225" s="160">
        <f t="shared" si="154"/>
        <v>6.9855397545967573E-3</v>
      </c>
      <c r="AC225" s="171" t="e">
        <f t="shared" si="155"/>
        <v>#DIV/0!</v>
      </c>
      <c r="AD225" s="190" t="e">
        <f t="shared" si="156"/>
        <v>#DIV/0!</v>
      </c>
      <c r="AE225" s="169" t="e">
        <f t="shared" si="157"/>
        <v>#DIV/0!</v>
      </c>
      <c r="AF225" s="98" t="str">
        <f t="shared" si="143"/>
        <v>-0.0000182926829268293</v>
      </c>
      <c r="AG225" s="98" t="str">
        <f t="shared" si="144"/>
        <v>0.00016403024099404i</v>
      </c>
      <c r="AH225" s="98">
        <f t="shared" si="158"/>
        <v>1.6403024099404E-4</v>
      </c>
      <c r="AI225" s="98">
        <f t="shared" si="159"/>
        <v>1.5707963267948966</v>
      </c>
      <c r="AJ225" s="98" t="str">
        <f t="shared" si="145"/>
        <v>1+0.0160798197229723i</v>
      </c>
      <c r="AK225" s="98">
        <f t="shared" si="160"/>
        <v>1.0001292719455437</v>
      </c>
      <c r="AL225" s="98">
        <f t="shared" si="161"/>
        <v>1.6078434068640377E-2</v>
      </c>
      <c r="AM225" s="98" t="str">
        <f t="shared" si="146"/>
        <v>1+1.6240617920202i</v>
      </c>
      <c r="AN225" s="98">
        <f t="shared" si="162"/>
        <v>1.9072432210653842</v>
      </c>
      <c r="AO225" s="98">
        <f t="shared" si="163"/>
        <v>1.018883531111233</v>
      </c>
      <c r="AP225" s="168" t="str">
        <f t="shared" si="164"/>
        <v>-0.179276094327311+0.11440291292108i</v>
      </c>
      <c r="AQ225" s="98">
        <f t="shared" si="165"/>
        <v>-13.445931496048251</v>
      </c>
      <c r="AR225" s="169">
        <f t="shared" si="166"/>
        <v>147.45649973474747</v>
      </c>
      <c r="AS225" s="168" t="e">
        <f t="shared" si="167"/>
        <v>#DIV/0!</v>
      </c>
      <c r="AT225" s="190" t="e">
        <f t="shared" si="168"/>
        <v>#DIV/0!</v>
      </c>
      <c r="AU225" s="169" t="e">
        <f t="shared" si="169"/>
        <v>#DIV/0!</v>
      </c>
      <c r="AV225" s="225"/>
      <c r="AX225" t="e">
        <f t="shared" si="170"/>
        <v>#DIV/0!</v>
      </c>
      <c r="AY225" t="e">
        <f t="shared" si="171"/>
        <v>#DIV/0!</v>
      </c>
    </row>
    <row r="226" spans="14:51" x14ac:dyDescent="0.25">
      <c r="N226" s="170">
        <v>8</v>
      </c>
      <c r="O226" s="199">
        <f t="shared" si="172"/>
        <v>1202.2644346174138</v>
      </c>
      <c r="P226" s="189" t="str">
        <f t="shared" si="138"/>
        <v>290</v>
      </c>
      <c r="Q226" s="160" t="e">
        <f t="shared" si="139"/>
        <v>#DIV/0!</v>
      </c>
      <c r="R226" s="160" t="e">
        <f t="shared" si="147"/>
        <v>#DIV/0!</v>
      </c>
      <c r="S226" s="160" t="e">
        <f t="shared" si="148"/>
        <v>#DIV/0!</v>
      </c>
      <c r="T226" s="160" t="e">
        <f t="shared" si="140"/>
        <v>#DIV/0!</v>
      </c>
      <c r="U226" s="160" t="e">
        <f t="shared" si="149"/>
        <v>#DIV/0!</v>
      </c>
      <c r="V226" s="160" t="e">
        <f t="shared" si="150"/>
        <v>#DIV/0!</v>
      </c>
      <c r="W226" s="98" t="str">
        <f t="shared" si="141"/>
        <v>1-0.0601963377777452i</v>
      </c>
      <c r="X226" s="160">
        <f t="shared" si="151"/>
        <v>1.0018101611991428</v>
      </c>
      <c r="Y226" s="160">
        <f t="shared" si="152"/>
        <v>-6.0123786319546658E-2</v>
      </c>
      <c r="Z226" s="98" t="str">
        <f t="shared" si="142"/>
        <v>0.999970135541927+0.00714816627946734i</v>
      </c>
      <c r="AA226" s="160">
        <f t="shared" si="153"/>
        <v>0.99999568411913597</v>
      </c>
      <c r="AB226" s="160">
        <f t="shared" si="154"/>
        <v>7.1482580065414985E-3</v>
      </c>
      <c r="AC226" s="171" t="e">
        <f t="shared" si="155"/>
        <v>#DIV/0!</v>
      </c>
      <c r="AD226" s="190" t="e">
        <f t="shared" si="156"/>
        <v>#DIV/0!</v>
      </c>
      <c r="AE226" s="169" t="e">
        <f t="shared" si="157"/>
        <v>#DIV/0!</v>
      </c>
      <c r="AF226" s="98" t="str">
        <f t="shared" si="143"/>
        <v>-0.0000182926829268293</v>
      </c>
      <c r="AG226" s="98" t="str">
        <f t="shared" si="144"/>
        <v>0.000167850996131325i</v>
      </c>
      <c r="AH226" s="98">
        <f t="shared" si="158"/>
        <v>1.6785099613132501E-4</v>
      </c>
      <c r="AI226" s="98">
        <f t="shared" si="159"/>
        <v>1.5707963267948966</v>
      </c>
      <c r="AJ226" s="98" t="str">
        <f t="shared" si="145"/>
        <v>1+0.0164543668396554i</v>
      </c>
      <c r="AK226" s="98">
        <f t="shared" si="160"/>
        <v>1.0001353639323498</v>
      </c>
      <c r="AL226" s="98">
        <f t="shared" si="161"/>
        <v>1.6452882095141508E-2</v>
      </c>
      <c r="AM226" s="98" t="str">
        <f t="shared" si="146"/>
        <v>1+1.66189105080519i</v>
      </c>
      <c r="AN226" s="98">
        <f t="shared" si="162"/>
        <v>1.9395571310859545</v>
      </c>
      <c r="AO226" s="98">
        <f t="shared" si="163"/>
        <v>1.0291100245786147</v>
      </c>
      <c r="AP226" s="168" t="str">
        <f t="shared" si="164"/>
        <v>-0.179273910334393+0.111931514984306i</v>
      </c>
      <c r="AQ226" s="98">
        <f t="shared" si="165"/>
        <v>-13.500054470651172</v>
      </c>
      <c r="AR226" s="169">
        <f t="shared" si="166"/>
        <v>148.02098035808095</v>
      </c>
      <c r="AS226" s="168" t="e">
        <f t="shared" si="167"/>
        <v>#DIV/0!</v>
      </c>
      <c r="AT226" s="190" t="e">
        <f t="shared" si="168"/>
        <v>#DIV/0!</v>
      </c>
      <c r="AU226" s="169" t="e">
        <f t="shared" si="169"/>
        <v>#DIV/0!</v>
      </c>
      <c r="AV226" s="225"/>
      <c r="AX226" t="e">
        <f t="shared" si="170"/>
        <v>#DIV/0!</v>
      </c>
      <c r="AY226" t="e">
        <f t="shared" si="171"/>
        <v>#DIV/0!</v>
      </c>
    </row>
    <row r="227" spans="14:51" x14ac:dyDescent="0.25">
      <c r="N227" s="170">
        <v>9</v>
      </c>
      <c r="O227" s="199">
        <f t="shared" si="172"/>
        <v>1230.2687708123824</v>
      </c>
      <c r="P227" s="189" t="str">
        <f t="shared" si="138"/>
        <v>290</v>
      </c>
      <c r="Q227" s="160" t="e">
        <f t="shared" si="139"/>
        <v>#DIV/0!</v>
      </c>
      <c r="R227" s="160" t="e">
        <f t="shared" si="147"/>
        <v>#DIV/0!</v>
      </c>
      <c r="S227" s="160" t="e">
        <f t="shared" si="148"/>
        <v>#DIV/0!</v>
      </c>
      <c r="T227" s="160" t="e">
        <f t="shared" si="140"/>
        <v>#DIV/0!</v>
      </c>
      <c r="U227" s="160" t="e">
        <f t="shared" si="149"/>
        <v>#DIV/0!</v>
      </c>
      <c r="V227" s="160" t="e">
        <f t="shared" si="150"/>
        <v>#DIV/0!</v>
      </c>
      <c r="W227" s="98" t="str">
        <f t="shared" si="141"/>
        <v>1-0.0615984906089319i</v>
      </c>
      <c r="X227" s="160">
        <f t="shared" si="151"/>
        <v>1.0018953907695647</v>
      </c>
      <c r="Y227" s="160">
        <f t="shared" si="152"/>
        <v>-6.1520758261701537E-2</v>
      </c>
      <c r="Z227" s="98" t="str">
        <f t="shared" si="142"/>
        <v>0.999968728073379+0.00731466846143651i</v>
      </c>
      <c r="AA227" s="160">
        <f t="shared" si="153"/>
        <v>0.99999548073948419</v>
      </c>
      <c r="AB227" s="160">
        <f t="shared" si="154"/>
        <v>7.314766748726889E-3</v>
      </c>
      <c r="AC227" s="171" t="e">
        <f t="shared" si="155"/>
        <v>#DIV/0!</v>
      </c>
      <c r="AD227" s="190" t="e">
        <f t="shared" si="156"/>
        <v>#DIV/0!</v>
      </c>
      <c r="AE227" s="169" t="e">
        <f t="shared" si="157"/>
        <v>#DIV/0!</v>
      </c>
      <c r="AF227" s="98" t="str">
        <f t="shared" si="143"/>
        <v>-0.0000182926829268293</v>
      </c>
      <c r="AG227" s="98" t="str">
        <f t="shared" si="144"/>
        <v>0.000171760748088529i</v>
      </c>
      <c r="AH227" s="98">
        <f t="shared" si="158"/>
        <v>1.71760748088529E-4</v>
      </c>
      <c r="AI227" s="98">
        <f t="shared" si="159"/>
        <v>1.5707963267948966</v>
      </c>
      <c r="AJ227" s="98" t="str">
        <f t="shared" si="145"/>
        <v>1+0.0168376382794362i</v>
      </c>
      <c r="AK227" s="98">
        <f t="shared" si="160"/>
        <v>1.0001417429858777</v>
      </c>
      <c r="AL227" s="98">
        <f t="shared" si="161"/>
        <v>1.6836047359203434E-2</v>
      </c>
      <c r="AM227" s="98" t="str">
        <f t="shared" si="146"/>
        <v>1+1.70060146622305i</v>
      </c>
      <c r="AN227" s="98">
        <f t="shared" si="162"/>
        <v>1.9728267402182049</v>
      </c>
      <c r="AO227" s="98">
        <f t="shared" si="163"/>
        <v>1.0392268374701448</v>
      </c>
      <c r="AP227" s="168" t="str">
        <f t="shared" si="164"/>
        <v>-0.179271623470094+0.109519461231184i</v>
      </c>
      <c r="AQ227" s="98">
        <f t="shared" si="165"/>
        <v>-13.552382485817398</v>
      </c>
      <c r="AR227" s="169">
        <f t="shared" si="166"/>
        <v>148.5786772864025</v>
      </c>
      <c r="AS227" s="168" t="e">
        <f t="shared" si="167"/>
        <v>#DIV/0!</v>
      </c>
      <c r="AT227" s="190" t="e">
        <f t="shared" si="168"/>
        <v>#DIV/0!</v>
      </c>
      <c r="AU227" s="169" t="e">
        <f t="shared" si="169"/>
        <v>#DIV/0!</v>
      </c>
      <c r="AV227" s="225"/>
      <c r="AX227" t="e">
        <f t="shared" si="170"/>
        <v>#DIV/0!</v>
      </c>
      <c r="AY227" t="e">
        <f t="shared" si="171"/>
        <v>#DIV/0!</v>
      </c>
    </row>
    <row r="228" spans="14:51" x14ac:dyDescent="0.25">
      <c r="N228" s="170">
        <v>10</v>
      </c>
      <c r="O228" s="199">
        <f t="shared" si="172"/>
        <v>1258.925411794168</v>
      </c>
      <c r="P228" s="189" t="str">
        <f t="shared" si="138"/>
        <v>290</v>
      </c>
      <c r="Q228" s="160" t="e">
        <f t="shared" si="139"/>
        <v>#DIV/0!</v>
      </c>
      <c r="R228" s="160" t="e">
        <f t="shared" si="147"/>
        <v>#DIV/0!</v>
      </c>
      <c r="S228" s="160" t="e">
        <f t="shared" si="148"/>
        <v>#DIV/0!</v>
      </c>
      <c r="T228" s="160" t="e">
        <f t="shared" si="140"/>
        <v>#DIV/0!</v>
      </c>
      <c r="U228" s="160" t="e">
        <f t="shared" si="149"/>
        <v>#DIV/0!</v>
      </c>
      <c r="V228" s="160" t="e">
        <f t="shared" si="150"/>
        <v>#DIV/0!</v>
      </c>
      <c r="W228" s="98" t="str">
        <f t="shared" si="141"/>
        <v>1-0.0630333037751918i</v>
      </c>
      <c r="X228" s="160">
        <f t="shared" si="151"/>
        <v>1.0019846293156476</v>
      </c>
      <c r="Y228" s="160">
        <f t="shared" si="152"/>
        <v>-6.2950020972059109E-2</v>
      </c>
      <c r="Z228" s="98" t="str">
        <f t="shared" si="142"/>
        <v>0.999967254272883+0.00748504897744503i</v>
      </c>
      <c r="AA228" s="160">
        <f t="shared" si="153"/>
        <v>0.9999952677769246</v>
      </c>
      <c r="AB228" s="160">
        <f t="shared" si="154"/>
        <v>7.4851542941287942E-3</v>
      </c>
      <c r="AC228" s="171" t="e">
        <f t="shared" si="155"/>
        <v>#DIV/0!</v>
      </c>
      <c r="AD228" s="190" t="e">
        <f t="shared" si="156"/>
        <v>#DIV/0!</v>
      </c>
      <c r="AE228" s="169" t="e">
        <f t="shared" si="157"/>
        <v>#DIV/0!</v>
      </c>
      <c r="AF228" s="98" t="str">
        <f t="shared" si="143"/>
        <v>-0.0000182926829268293</v>
      </c>
      <c r="AG228" s="98" t="str">
        <f t="shared" si="144"/>
        <v>0.000175761569867891i</v>
      </c>
      <c r="AH228" s="98">
        <f t="shared" si="158"/>
        <v>1.7576156986789099E-4</v>
      </c>
      <c r="AI228" s="98">
        <f t="shared" si="159"/>
        <v>1.5707963267948966</v>
      </c>
      <c r="AJ228" s="98" t="str">
        <f t="shared" si="145"/>
        <v>1+0.0172298372579052i</v>
      </c>
      <c r="AK228" s="98">
        <f t="shared" si="160"/>
        <v>1.0001484226313282</v>
      </c>
      <c r="AL228" s="98">
        <f t="shared" si="161"/>
        <v>1.7228132569825506E-2</v>
      </c>
      <c r="AM228" s="98" t="str">
        <f t="shared" si="146"/>
        <v>1+1.74021356304843i</v>
      </c>
      <c r="AN228" s="98">
        <f t="shared" si="162"/>
        <v>2.00707330334936</v>
      </c>
      <c r="AO228" s="98">
        <f t="shared" si="163"/>
        <v>1.0492310496970239</v>
      </c>
      <c r="AP228" s="168" t="str">
        <f t="shared" si="164"/>
        <v>-0.179269228891734+0.107165472516777i</v>
      </c>
      <c r="AQ228" s="98">
        <f t="shared" si="165"/>
        <v>-13.602954726742485</v>
      </c>
      <c r="AR228" s="169">
        <f t="shared" si="166"/>
        <v>149.1294115965778</v>
      </c>
      <c r="AS228" s="168" t="e">
        <f t="shared" si="167"/>
        <v>#DIV/0!</v>
      </c>
      <c r="AT228" s="190" t="e">
        <f t="shared" si="168"/>
        <v>#DIV/0!</v>
      </c>
      <c r="AU228" s="169" t="e">
        <f t="shared" si="169"/>
        <v>#DIV/0!</v>
      </c>
      <c r="AV228" s="225"/>
      <c r="AX228" t="e">
        <f t="shared" si="170"/>
        <v>#DIV/0!</v>
      </c>
      <c r="AY228" t="e">
        <f t="shared" si="171"/>
        <v>#DIV/0!</v>
      </c>
    </row>
    <row r="229" spans="14:51" x14ac:dyDescent="0.25">
      <c r="N229" s="170">
        <v>11</v>
      </c>
      <c r="O229" s="199">
        <f t="shared" si="172"/>
        <v>1288.2495516931347</v>
      </c>
      <c r="P229" s="189" t="str">
        <f t="shared" si="138"/>
        <v>290</v>
      </c>
      <c r="Q229" s="160" t="e">
        <f t="shared" si="139"/>
        <v>#DIV/0!</v>
      </c>
      <c r="R229" s="160" t="e">
        <f t="shared" si="147"/>
        <v>#DIV/0!</v>
      </c>
      <c r="S229" s="160" t="e">
        <f t="shared" si="148"/>
        <v>#DIV/0!</v>
      </c>
      <c r="T229" s="160" t="e">
        <f t="shared" si="140"/>
        <v>#DIV/0!</v>
      </c>
      <c r="U229" s="160" t="e">
        <f t="shared" si="149"/>
        <v>#DIV/0!</v>
      </c>
      <c r="V229" s="160" t="e">
        <f t="shared" si="150"/>
        <v>#DIV/0!</v>
      </c>
      <c r="W229" s="98" t="str">
        <f t="shared" si="141"/>
        <v>1-0.0645015380334578i</v>
      </c>
      <c r="X229" s="160">
        <f t="shared" si="151"/>
        <v>1.0020780650272121</v>
      </c>
      <c r="Y229" s="160">
        <f t="shared" si="152"/>
        <v>-6.4412308893956674E-2</v>
      </c>
      <c r="Z229" s="98" t="str">
        <f t="shared" si="142"/>
        <v>0.999965711014309+0.00765939816549772i</v>
      </c>
      <c r="AA229" s="160">
        <f t="shared" si="153"/>
        <v>0.99999504478002788</v>
      </c>
      <c r="AB229" s="160">
        <f t="shared" si="154"/>
        <v>7.6595110143066764E-3</v>
      </c>
      <c r="AC229" s="171" t="e">
        <f t="shared" si="155"/>
        <v>#DIV/0!</v>
      </c>
      <c r="AD229" s="190" t="e">
        <f t="shared" si="156"/>
        <v>#DIV/0!</v>
      </c>
      <c r="AE229" s="169" t="e">
        <f t="shared" si="157"/>
        <v>#DIV/0!</v>
      </c>
      <c r="AF229" s="98" t="str">
        <f t="shared" si="143"/>
        <v>-0.0000182926829268293</v>
      </c>
      <c r="AG229" s="98" t="str">
        <f t="shared" si="144"/>
        <v>0.000179855582758077i</v>
      </c>
      <c r="AH229" s="98">
        <f t="shared" si="158"/>
        <v>1.7985558275807699E-4</v>
      </c>
      <c r="AI229" s="98">
        <f t="shared" si="159"/>
        <v>1.5707963267948966</v>
      </c>
      <c r="AJ229" s="98" t="str">
        <f t="shared" si="145"/>
        <v>1+0.0176311717241523i</v>
      </c>
      <c r="AK229" s="98">
        <f t="shared" si="160"/>
        <v>1.0001554170309566</v>
      </c>
      <c r="AL229" s="98">
        <f t="shared" si="161"/>
        <v>1.7629345133295126E-2</v>
      </c>
      <c r="AM229" s="98" t="str">
        <f t="shared" si="146"/>
        <v>1+1.78074834413938i</v>
      </c>
      <c r="AN229" s="98">
        <f t="shared" si="162"/>
        <v>2.0423184534139485</v>
      </c>
      <c r="AO229" s="98">
        <f t="shared" si="163"/>
        <v>1.0591199549194321</v>
      </c>
      <c r="AP229" s="168" t="str">
        <f t="shared" si="164"/>
        <v>-0.179266721528934+0.104868300465702i</v>
      </c>
      <c r="AQ229" s="98">
        <f t="shared" si="165"/>
        <v>-13.651810927267762</v>
      </c>
      <c r="AR229" s="169">
        <f t="shared" si="166"/>
        <v>149.67301634325213</v>
      </c>
      <c r="AS229" s="168" t="e">
        <f t="shared" si="167"/>
        <v>#DIV/0!</v>
      </c>
      <c r="AT229" s="190" t="e">
        <f t="shared" si="168"/>
        <v>#DIV/0!</v>
      </c>
      <c r="AU229" s="169" t="e">
        <f t="shared" si="169"/>
        <v>#DIV/0!</v>
      </c>
      <c r="AV229" s="225"/>
      <c r="AX229" t="e">
        <f t="shared" si="170"/>
        <v>#DIV/0!</v>
      </c>
      <c r="AY229" t="e">
        <f t="shared" si="171"/>
        <v>#DIV/0!</v>
      </c>
    </row>
    <row r="230" spans="14:51" x14ac:dyDescent="0.25">
      <c r="N230" s="170">
        <v>12</v>
      </c>
      <c r="O230" s="199">
        <f t="shared" si="172"/>
        <v>1318.2567385564089</v>
      </c>
      <c r="P230" s="189" t="str">
        <f t="shared" si="138"/>
        <v>290</v>
      </c>
      <c r="Q230" s="160" t="e">
        <f t="shared" si="139"/>
        <v>#DIV/0!</v>
      </c>
      <c r="R230" s="160" t="e">
        <f t="shared" si="147"/>
        <v>#DIV/0!</v>
      </c>
      <c r="S230" s="160" t="e">
        <f t="shared" si="148"/>
        <v>#DIV/0!</v>
      </c>
      <c r="T230" s="160" t="e">
        <f t="shared" si="140"/>
        <v>#DIV/0!</v>
      </c>
      <c r="U230" s="160" t="e">
        <f t="shared" si="149"/>
        <v>#DIV/0!</v>
      </c>
      <c r="V230" s="160" t="e">
        <f t="shared" si="150"/>
        <v>#DIV/0!</v>
      </c>
      <c r="W230" s="98" t="str">
        <f t="shared" si="141"/>
        <v>1-0.0660039718609679i</v>
      </c>
      <c r="X230" s="160">
        <f t="shared" si="151"/>
        <v>1.0021758948914226</v>
      </c>
      <c r="Y230" s="160">
        <f t="shared" si="152"/>
        <v>-6.5908372323384923E-2</v>
      </c>
      <c r="Z230" s="98" t="str">
        <f t="shared" si="142"/>
        <v>0.999964095024199+0.00783780846784189i</v>
      </c>
      <c r="AA230" s="160">
        <f t="shared" si="153"/>
        <v>0.99999481127611067</v>
      </c>
      <c r="AB230" s="160">
        <f t="shared" si="154"/>
        <v>7.8379293874621912E-3</v>
      </c>
      <c r="AC230" s="171" t="e">
        <f t="shared" si="155"/>
        <v>#DIV/0!</v>
      </c>
      <c r="AD230" s="190" t="e">
        <f t="shared" si="156"/>
        <v>#DIV/0!</v>
      </c>
      <c r="AE230" s="169" t="e">
        <f t="shared" si="157"/>
        <v>#DIV/0!</v>
      </c>
      <c r="AF230" s="98" t="str">
        <f t="shared" si="143"/>
        <v>-0.0000182926829268293</v>
      </c>
      <c r="AG230" s="98" t="str">
        <f t="shared" si="144"/>
        <v>0.000184044957458912i</v>
      </c>
      <c r="AH230" s="98">
        <f t="shared" si="158"/>
        <v>1.84044957458912E-4</v>
      </c>
      <c r="AI230" s="98">
        <f t="shared" si="159"/>
        <v>1.5707963267948966</v>
      </c>
      <c r="AJ230" s="98" t="str">
        <f t="shared" si="145"/>
        <v>1+0.0180418544710236i</v>
      </c>
      <c r="AK230" s="98">
        <f t="shared" si="160"/>
        <v>1.0001627410140579</v>
      </c>
      <c r="AL230" s="98">
        <f t="shared" si="161"/>
        <v>1.8039897260857134E-2</v>
      </c>
      <c r="AM230" s="98" t="str">
        <f t="shared" si="146"/>
        <v>1+1.82222730157338i</v>
      </c>
      <c r="AN230" s="98">
        <f t="shared" si="162"/>
        <v>2.0785842149404008</v>
      </c>
      <c r="AO230" s="98">
        <f t="shared" si="163"/>
        <v>1.068891059381726</v>
      </c>
      <c r="AP230" s="168" t="str">
        <f t="shared" si="164"/>
        <v>-0.179264096072939+0.102626726808987i</v>
      </c>
      <c r="AQ230" s="98">
        <f t="shared" si="165"/>
        <v>-13.698991263905771</v>
      </c>
      <c r="AR230" s="169">
        <f t="shared" si="166"/>
        <v>150.20933648594365</v>
      </c>
      <c r="AS230" s="168" t="e">
        <f t="shared" si="167"/>
        <v>#DIV/0!</v>
      </c>
      <c r="AT230" s="190" t="e">
        <f t="shared" si="168"/>
        <v>#DIV/0!</v>
      </c>
      <c r="AU230" s="169" t="e">
        <f t="shared" si="169"/>
        <v>#DIV/0!</v>
      </c>
      <c r="AV230" s="225"/>
      <c r="AX230" t="e">
        <f t="shared" si="170"/>
        <v>#DIV/0!</v>
      </c>
      <c r="AY230" t="e">
        <f t="shared" si="171"/>
        <v>#DIV/0!</v>
      </c>
    </row>
    <row r="231" spans="14:51" x14ac:dyDescent="0.25">
      <c r="N231" s="170">
        <v>13</v>
      </c>
      <c r="O231" s="199">
        <f t="shared" si="172"/>
        <v>1348.9628825916541</v>
      </c>
      <c r="P231" s="189" t="str">
        <f t="shared" si="138"/>
        <v>290</v>
      </c>
      <c r="Q231" s="160" t="e">
        <f t="shared" si="139"/>
        <v>#DIV/0!</v>
      </c>
      <c r="R231" s="160" t="e">
        <f t="shared" si="147"/>
        <v>#DIV/0!</v>
      </c>
      <c r="S231" s="160" t="e">
        <f t="shared" si="148"/>
        <v>#DIV/0!</v>
      </c>
      <c r="T231" s="160" t="e">
        <f t="shared" si="140"/>
        <v>#DIV/0!</v>
      </c>
      <c r="U231" s="160" t="e">
        <f t="shared" si="149"/>
        <v>#DIV/0!</v>
      </c>
      <c r="V231" s="160" t="e">
        <f t="shared" si="150"/>
        <v>#DIV/0!</v>
      </c>
      <c r="W231" s="98" t="str">
        <f t="shared" si="141"/>
        <v>1-0.0675414018680245i</v>
      </c>
      <c r="X231" s="160">
        <f t="shared" si="151"/>
        <v>1.0022783251005172</v>
      </c>
      <c r="Y231" s="160">
        <f t="shared" si="152"/>
        <v>-6.7438977689904589E-2</v>
      </c>
      <c r="Z231" s="98" t="str">
        <f t="shared" si="142"/>
        <v>0.999962402874822+0.00802037447998135i</v>
      </c>
      <c r="AA231" s="160">
        <f t="shared" si="153"/>
        <v>0.99999456677023357</v>
      </c>
      <c r="AB231" s="160">
        <f t="shared" si="154"/>
        <v>8.0205040476248515E-3</v>
      </c>
      <c r="AC231" s="171" t="e">
        <f t="shared" si="155"/>
        <v>#DIV/0!</v>
      </c>
      <c r="AD231" s="190" t="e">
        <f t="shared" si="156"/>
        <v>#DIV/0!</v>
      </c>
      <c r="AE231" s="169" t="e">
        <f t="shared" si="157"/>
        <v>#DIV/0!</v>
      </c>
      <c r="AF231" s="98" t="str">
        <f t="shared" si="143"/>
        <v>-0.0000182926829268293</v>
      </c>
      <c r="AG231" s="98" t="str">
        <f t="shared" si="144"/>
        <v>0.000188331915232314i</v>
      </c>
      <c r="AH231" s="98">
        <f t="shared" si="158"/>
        <v>1.88331915232314E-4</v>
      </c>
      <c r="AI231" s="98">
        <f t="shared" si="159"/>
        <v>1.5707963267948966</v>
      </c>
      <c r="AJ231" s="98" t="str">
        <f t="shared" si="145"/>
        <v>1+0.0184621032479476i</v>
      </c>
      <c r="AK231" s="98">
        <f t="shared" si="160"/>
        <v>1.0001704101083664</v>
      </c>
      <c r="AL231" s="98">
        <f t="shared" si="161"/>
        <v>1.8460006078767865E-2</v>
      </c>
      <c r="AM231" s="98" t="str">
        <f t="shared" si="146"/>
        <v>1+1.86467242804271i</v>
      </c>
      <c r="AN231" s="98">
        <f t="shared" si="162"/>
        <v>2.1158930180665316</v>
      </c>
      <c r="AO231" s="98">
        <f t="shared" si="163"/>
        <v>1.078542080000185</v>
      </c>
      <c r="AP231" s="168" t="str">
        <f t="shared" si="164"/>
        <v>-0.179261346965438+0.100439562736811i</v>
      </c>
      <c r="AQ231" s="98">
        <f t="shared" si="165"/>
        <v>-13.744536253106714</v>
      </c>
      <c r="AR231" s="169">
        <f t="shared" si="166"/>
        <v>150.73822877317244</v>
      </c>
      <c r="AS231" s="168" t="e">
        <f t="shared" si="167"/>
        <v>#DIV/0!</v>
      </c>
      <c r="AT231" s="190" t="e">
        <f t="shared" si="168"/>
        <v>#DIV/0!</v>
      </c>
      <c r="AU231" s="169" t="e">
        <f t="shared" si="169"/>
        <v>#DIV/0!</v>
      </c>
      <c r="AV231" s="225"/>
      <c r="AX231" t="e">
        <f t="shared" si="170"/>
        <v>#DIV/0!</v>
      </c>
      <c r="AY231" t="e">
        <f t="shared" si="171"/>
        <v>#DIV/0!</v>
      </c>
    </row>
    <row r="232" spans="14:51" x14ac:dyDescent="0.25">
      <c r="N232" s="170">
        <v>14</v>
      </c>
      <c r="O232" s="199">
        <f t="shared" si="172"/>
        <v>1380.3842646028863</v>
      </c>
      <c r="P232" s="189" t="str">
        <f t="shared" si="138"/>
        <v>290</v>
      </c>
      <c r="Q232" s="160" t="e">
        <f t="shared" si="139"/>
        <v>#DIV/0!</v>
      </c>
      <c r="R232" s="160" t="e">
        <f t="shared" si="147"/>
        <v>#DIV/0!</v>
      </c>
      <c r="S232" s="160" t="e">
        <f t="shared" si="148"/>
        <v>#DIV/0!</v>
      </c>
      <c r="T232" s="160" t="e">
        <f t="shared" si="140"/>
        <v>#DIV/0!</v>
      </c>
      <c r="U232" s="160" t="e">
        <f t="shared" si="149"/>
        <v>#DIV/0!</v>
      </c>
      <c r="V232" s="160" t="e">
        <f t="shared" si="150"/>
        <v>#DIV/0!</v>
      </c>
      <c r="W232" s="98" t="str">
        <f t="shared" si="141"/>
        <v>1-0.0691146432203677i</v>
      </c>
      <c r="X232" s="160">
        <f t="shared" si="151"/>
        <v>1.0023855714781007</v>
      </c>
      <c r="Y232" s="160">
        <f t="shared" si="152"/>
        <v>-6.9004907837956903E-2</v>
      </c>
      <c r="Z232" s="98" t="str">
        <f t="shared" si="142"/>
        <v>0.999960630976902+0.00820719300083232i</v>
      </c>
      <c r="AA232" s="160">
        <f t="shared" si="153"/>
        <v>0.99999431074415468</v>
      </c>
      <c r="AB232" s="160">
        <f t="shared" si="154"/>
        <v>8.2073318349918135E-3</v>
      </c>
      <c r="AC232" s="171" t="e">
        <f t="shared" si="155"/>
        <v>#DIV/0!</v>
      </c>
      <c r="AD232" s="190" t="e">
        <f t="shared" si="156"/>
        <v>#DIV/0!</v>
      </c>
      <c r="AE232" s="169" t="e">
        <f t="shared" si="157"/>
        <v>#DIV/0!</v>
      </c>
      <c r="AF232" s="98" t="str">
        <f t="shared" si="143"/>
        <v>-0.0000182926829268293</v>
      </c>
      <c r="AG232" s="98" t="str">
        <f t="shared" si="144"/>
        <v>0.00019271872908004i</v>
      </c>
      <c r="AH232" s="98">
        <f t="shared" si="158"/>
        <v>1.9271872908004E-4</v>
      </c>
      <c r="AI232" s="98">
        <f t="shared" si="159"/>
        <v>1.5707963267948966</v>
      </c>
      <c r="AJ232" s="98" t="str">
        <f t="shared" si="145"/>
        <v>1+0.0188921408763886i</v>
      </c>
      <c r="AK232" s="98">
        <f t="shared" si="160"/>
        <v>1.0001784405729275</v>
      </c>
      <c r="AL232" s="98">
        <f t="shared" si="161"/>
        <v>1.8889893740778436E-2</v>
      </c>
      <c r="AM232" s="98" t="str">
        <f t="shared" si="146"/>
        <v>1+1.90810622851524i</v>
      </c>
      <c r="AN232" s="98">
        <f t="shared" si="162"/>
        <v>2.1542677130056638</v>
      </c>
      <c r="AO232" s="98">
        <f t="shared" si="163"/>
        <v>1.0880709417544085</v>
      </c>
      <c r="AP232" s="168" t="str">
        <f t="shared" si="164"/>
        <v>-0.179258468386863+0.0983056482667579i</v>
      </c>
      <c r="AQ232" s="98">
        <f t="shared" si="165"/>
        <v>-13.788486652159744</v>
      </c>
      <c r="AR232" s="169">
        <f t="shared" si="166"/>
        <v>151.25956158655518</v>
      </c>
      <c r="AS232" s="168" t="e">
        <f t="shared" si="167"/>
        <v>#DIV/0!</v>
      </c>
      <c r="AT232" s="190" t="e">
        <f t="shared" si="168"/>
        <v>#DIV/0!</v>
      </c>
      <c r="AU232" s="169" t="e">
        <f t="shared" si="169"/>
        <v>#DIV/0!</v>
      </c>
      <c r="AV232" s="225"/>
      <c r="AX232" t="e">
        <f t="shared" si="170"/>
        <v>#DIV/0!</v>
      </c>
      <c r="AY232" t="e">
        <f t="shared" si="171"/>
        <v>#DIV/0!</v>
      </c>
    </row>
    <row r="233" spans="14:51" x14ac:dyDescent="0.25">
      <c r="N233" s="170">
        <v>15</v>
      </c>
      <c r="O233" s="199">
        <f t="shared" si="172"/>
        <v>1412.5375446227545</v>
      </c>
      <c r="P233" s="189" t="str">
        <f t="shared" si="138"/>
        <v>290</v>
      </c>
      <c r="Q233" s="160" t="e">
        <f t="shared" si="139"/>
        <v>#DIV/0!</v>
      </c>
      <c r="R233" s="160" t="e">
        <f t="shared" si="147"/>
        <v>#DIV/0!</v>
      </c>
      <c r="S233" s="160" t="e">
        <f t="shared" si="148"/>
        <v>#DIV/0!</v>
      </c>
      <c r="T233" s="160" t="e">
        <f t="shared" si="140"/>
        <v>#DIV/0!</v>
      </c>
      <c r="U233" s="160" t="e">
        <f t="shared" si="149"/>
        <v>#DIV/0!</v>
      </c>
      <c r="V233" s="160" t="e">
        <f t="shared" si="150"/>
        <v>#DIV/0!</v>
      </c>
      <c r="W233" s="98" t="str">
        <f t="shared" si="141"/>
        <v>1-0.0707245300713868i</v>
      </c>
      <c r="X233" s="160">
        <f t="shared" si="151"/>
        <v>1.0024978599248073</v>
      </c>
      <c r="Y233" s="160">
        <f t="shared" si="152"/>
        <v>-7.0606962308157786E-2</v>
      </c>
      <c r="Z233" s="98" t="str">
        <f t="shared" si="142"/>
        <v>0.999958775572005+0.00839836308404736i</v>
      </c>
      <c r="AA233" s="160">
        <f t="shared" si="153"/>
        <v>0.9999940426552324</v>
      </c>
      <c r="AB233" s="160">
        <f t="shared" si="154"/>
        <v>8.3985118474488724E-3</v>
      </c>
      <c r="AC233" s="171" t="e">
        <f t="shared" si="155"/>
        <v>#DIV/0!</v>
      </c>
      <c r="AD233" s="190" t="e">
        <f t="shared" si="156"/>
        <v>#DIV/0!</v>
      </c>
      <c r="AE233" s="169" t="e">
        <f t="shared" si="157"/>
        <v>#DIV/0!</v>
      </c>
      <c r="AF233" s="98" t="str">
        <f t="shared" si="143"/>
        <v>-0.0000182926829268293</v>
      </c>
      <c r="AG233" s="98" t="str">
        <f t="shared" si="144"/>
        <v>0.000197207724948858i</v>
      </c>
      <c r="AH233" s="98">
        <f t="shared" si="158"/>
        <v>1.9720772494885799E-4</v>
      </c>
      <c r="AI233" s="98">
        <f t="shared" si="159"/>
        <v>1.5707963267948966</v>
      </c>
      <c r="AJ233" s="98" t="str">
        <f t="shared" si="145"/>
        <v>1+0.0193321953679892i</v>
      </c>
      <c r="AK233" s="98">
        <f t="shared" si="160"/>
        <v>1.0001868494325179</v>
      </c>
      <c r="AL233" s="98">
        <f t="shared" si="161"/>
        <v>1.9329787543095105E-2</v>
      </c>
      <c r="AM233" s="98" t="str">
        <f t="shared" si="146"/>
        <v>1+1.95255173216691i</v>
      </c>
      <c r="AN233" s="98">
        <f t="shared" si="162"/>
        <v>2.1937315849456152</v>
      </c>
      <c r="AO233" s="98">
        <f t="shared" si="163"/>
        <v>1.0974757744355488</v>
      </c>
      <c r="AP233" s="168" t="str">
        <f t="shared" si="164"/>
        <v>-0.179255454244146+0.0962238516272641i</v>
      </c>
      <c r="AQ233" s="98">
        <f t="shared" si="165"/>
        <v>-13.830883364068745</v>
      </c>
      <c r="AR233" s="169">
        <f t="shared" si="166"/>
        <v>151.77321474790463</v>
      </c>
      <c r="AS233" s="168" t="e">
        <f t="shared" si="167"/>
        <v>#DIV/0!</v>
      </c>
      <c r="AT233" s="190" t="e">
        <f t="shared" si="168"/>
        <v>#DIV/0!</v>
      </c>
      <c r="AU233" s="169" t="e">
        <f t="shared" si="169"/>
        <v>#DIV/0!</v>
      </c>
      <c r="AV233" s="225"/>
      <c r="AX233" t="e">
        <f t="shared" si="170"/>
        <v>#DIV/0!</v>
      </c>
      <c r="AY233" t="e">
        <f t="shared" si="171"/>
        <v>#DIV/0!</v>
      </c>
    </row>
    <row r="234" spans="14:51" x14ac:dyDescent="0.25">
      <c r="N234" s="170">
        <v>16</v>
      </c>
      <c r="O234" s="199">
        <f t="shared" si="172"/>
        <v>1445.4397707459289</v>
      </c>
      <c r="P234" s="189" t="str">
        <f t="shared" si="138"/>
        <v>290</v>
      </c>
      <c r="Q234" s="160" t="e">
        <f t="shared" si="139"/>
        <v>#DIV/0!</v>
      </c>
      <c r="R234" s="160" t="e">
        <f t="shared" si="147"/>
        <v>#DIV/0!</v>
      </c>
      <c r="S234" s="160" t="e">
        <f t="shared" si="148"/>
        <v>#DIV/0!</v>
      </c>
      <c r="T234" s="160" t="e">
        <f t="shared" si="140"/>
        <v>#DIV/0!</v>
      </c>
      <c r="U234" s="160" t="e">
        <f t="shared" si="149"/>
        <v>#DIV/0!</v>
      </c>
      <c r="V234" s="160" t="e">
        <f t="shared" si="150"/>
        <v>#DIV/0!</v>
      </c>
      <c r="W234" s="98" t="str">
        <f t="shared" si="141"/>
        <v>1-0.0723719160043996i</v>
      </c>
      <c r="X234" s="160">
        <f t="shared" si="151"/>
        <v>1.0026154268841807</v>
      </c>
      <c r="Y234" s="160">
        <f t="shared" si="152"/>
        <v>-7.2245957618128825E-2</v>
      </c>
      <c r="Z234" s="98" t="str">
        <f t="shared" si="142"/>
        <v>0.999956832724569+0.00859398609053505i</v>
      </c>
      <c r="AA234" s="160">
        <f t="shared" si="153"/>
        <v>0.99999376193528122</v>
      </c>
      <c r="AB234" s="160">
        <f t="shared" si="154"/>
        <v>8.5941454933012341E-3</v>
      </c>
      <c r="AC234" s="171" t="e">
        <f t="shared" si="155"/>
        <v>#DIV/0!</v>
      </c>
      <c r="AD234" s="190" t="e">
        <f t="shared" si="156"/>
        <v>#DIV/0!</v>
      </c>
      <c r="AE234" s="169" t="e">
        <f t="shared" si="157"/>
        <v>#DIV/0!</v>
      </c>
      <c r="AF234" s="98" t="str">
        <f t="shared" si="143"/>
        <v>-0.0000182926829268293</v>
      </c>
      <c r="AG234" s="98" t="str">
        <f t="shared" si="144"/>
        <v>0.000201801282963797i</v>
      </c>
      <c r="AH234" s="98">
        <f t="shared" si="158"/>
        <v>2.0180128296379699E-4</v>
      </c>
      <c r="AI234" s="98">
        <f t="shared" si="159"/>
        <v>1.5707963267948966</v>
      </c>
      <c r="AJ234" s="98" t="str">
        <f t="shared" si="145"/>
        <v>1+0.0197825000454658i</v>
      </c>
      <c r="AK234" s="98">
        <f t="shared" si="160"/>
        <v>1.0001956545136801</v>
      </c>
      <c r="AL234" s="98">
        <f t="shared" si="161"/>
        <v>1.9779920041865431E-2</v>
      </c>
      <c r="AM234" s="98" t="str">
        <f t="shared" si="146"/>
        <v>1+1.99803250459205i</v>
      </c>
      <c r="AN234" s="98">
        <f t="shared" si="162"/>
        <v>2.2343083693631867</v>
      </c>
      <c r="AO234" s="98">
        <f t="shared" si="163"/>
        <v>1.1067549088058921</v>
      </c>
      <c r="AP234" s="168" t="str">
        <f t="shared" si="164"/>
        <v>-0.179252298157896+0.0941930686559089i</v>
      </c>
      <c r="AQ234" s="98">
        <f t="shared" si="165"/>
        <v>-13.87176734669141</v>
      </c>
      <c r="AR234" s="169">
        <f t="shared" si="166"/>
        <v>152.27907929245873</v>
      </c>
      <c r="AS234" s="168" t="e">
        <f t="shared" si="167"/>
        <v>#DIV/0!</v>
      </c>
      <c r="AT234" s="190" t="e">
        <f t="shared" si="168"/>
        <v>#DIV/0!</v>
      </c>
      <c r="AU234" s="169" t="e">
        <f t="shared" si="169"/>
        <v>#DIV/0!</v>
      </c>
      <c r="AV234" s="225"/>
      <c r="AX234" t="e">
        <f t="shared" si="170"/>
        <v>#DIV/0!</v>
      </c>
      <c r="AY234" t="e">
        <f t="shared" si="171"/>
        <v>#DIV/0!</v>
      </c>
    </row>
    <row r="235" spans="14:51" x14ac:dyDescent="0.25">
      <c r="N235" s="170">
        <v>17</v>
      </c>
      <c r="O235" s="199">
        <f t="shared" si="172"/>
        <v>1479.1083881682086</v>
      </c>
      <c r="P235" s="189" t="str">
        <f t="shared" si="138"/>
        <v>290</v>
      </c>
      <c r="Q235" s="160" t="e">
        <f t="shared" si="139"/>
        <v>#DIV/0!</v>
      </c>
      <c r="R235" s="160" t="e">
        <f t="shared" si="147"/>
        <v>#DIV/0!</v>
      </c>
      <c r="S235" s="160" t="e">
        <f t="shared" si="148"/>
        <v>#DIV/0!</v>
      </c>
      <c r="T235" s="160" t="e">
        <f t="shared" si="140"/>
        <v>#DIV/0!</v>
      </c>
      <c r="U235" s="160" t="e">
        <f t="shared" si="149"/>
        <v>#DIV/0!</v>
      </c>
      <c r="V235" s="160" t="e">
        <f t="shared" si="150"/>
        <v>#DIV/0!</v>
      </c>
      <c r="W235" s="98" t="str">
        <f t="shared" si="141"/>
        <v>1-0.0740576744852335i</v>
      </c>
      <c r="X235" s="160">
        <f t="shared" si="151"/>
        <v>1.0027385198296517</v>
      </c>
      <c r="Y235" s="160">
        <f t="shared" si="152"/>
        <v>-7.3922727542377456E-2</v>
      </c>
      <c r="Z235" s="98" t="str">
        <f t="shared" si="142"/>
        <v>0.999954798313555+0.00879416574220279i</v>
      </c>
      <c r="AA235" s="160">
        <f t="shared" si="153"/>
        <v>0.99999346798936839</v>
      </c>
      <c r="AB235" s="160">
        <f t="shared" si="154"/>
        <v>8.7943365452425731E-3</v>
      </c>
      <c r="AC235" s="171" t="e">
        <f t="shared" si="155"/>
        <v>#DIV/0!</v>
      </c>
      <c r="AD235" s="190" t="e">
        <f t="shared" si="156"/>
        <v>#DIV/0!</v>
      </c>
      <c r="AE235" s="169" t="e">
        <f t="shared" si="157"/>
        <v>#DIV/0!</v>
      </c>
      <c r="AF235" s="98" t="str">
        <f t="shared" si="143"/>
        <v>-0.0000182926829268293</v>
      </c>
      <c r="AG235" s="98" t="str">
        <f t="shared" si="144"/>
        <v>0.000206501838690119i</v>
      </c>
      <c r="AH235" s="98">
        <f t="shared" si="158"/>
        <v>2.06501838690119E-4</v>
      </c>
      <c r="AI235" s="98">
        <f t="shared" si="159"/>
        <v>1.5707963267948966</v>
      </c>
      <c r="AJ235" s="98" t="str">
        <f t="shared" si="145"/>
        <v>1+0.0202432936663189i</v>
      </c>
      <c r="AK235" s="98">
        <f t="shared" si="160"/>
        <v>1.0002048744824537</v>
      </c>
      <c r="AL235" s="98">
        <f t="shared" si="161"/>
        <v>2.0240529173235915E-2</v>
      </c>
      <c r="AM235" s="98" t="str">
        <f t="shared" si="146"/>
        <v>1+2.0445726602982i</v>
      </c>
      <c r="AN235" s="98">
        <f t="shared" si="162"/>
        <v>2.2760222677379187</v>
      </c>
      <c r="AO235" s="98">
        <f t="shared" si="163"/>
        <v>1.1159068722251209</v>
      </c>
      <c r="AP235" s="168" t="str">
        <f t="shared" si="164"/>
        <v>-0.179248993448998+0.0922122222122308i</v>
      </c>
      <c r="AQ235" s="98">
        <f t="shared" si="165"/>
        <v>-13.911179526376747</v>
      </c>
      <c r="AR235" s="169">
        <f t="shared" si="166"/>
        <v>152.77705721140609</v>
      </c>
      <c r="AS235" s="168" t="e">
        <f t="shared" si="167"/>
        <v>#DIV/0!</v>
      </c>
      <c r="AT235" s="190" t="e">
        <f t="shared" si="168"/>
        <v>#DIV/0!</v>
      </c>
      <c r="AU235" s="169" t="e">
        <f t="shared" si="169"/>
        <v>#DIV/0!</v>
      </c>
      <c r="AV235" s="225"/>
      <c r="AX235" t="e">
        <f t="shared" si="170"/>
        <v>#DIV/0!</v>
      </c>
      <c r="AY235" t="e">
        <f t="shared" si="171"/>
        <v>#DIV/0!</v>
      </c>
    </row>
    <row r="236" spans="14:51" x14ac:dyDescent="0.25">
      <c r="N236" s="170">
        <v>18</v>
      </c>
      <c r="O236" s="199">
        <f t="shared" si="172"/>
        <v>1513.5612484362093</v>
      </c>
      <c r="P236" s="189" t="str">
        <f t="shared" si="138"/>
        <v>290</v>
      </c>
      <c r="Q236" s="160" t="e">
        <f t="shared" si="139"/>
        <v>#DIV/0!</v>
      </c>
      <c r="R236" s="160" t="e">
        <f t="shared" si="147"/>
        <v>#DIV/0!</v>
      </c>
      <c r="S236" s="160" t="e">
        <f t="shared" si="148"/>
        <v>#DIV/0!</v>
      </c>
      <c r="T236" s="160" t="e">
        <f t="shared" si="140"/>
        <v>#DIV/0!</v>
      </c>
      <c r="U236" s="160" t="e">
        <f t="shared" si="149"/>
        <v>#DIV/0!</v>
      </c>
      <c r="V236" s="160" t="e">
        <f t="shared" si="150"/>
        <v>#DIV/0!</v>
      </c>
      <c r="W236" s="98" t="str">
        <f t="shared" si="141"/>
        <v>1-0.0757826993253486i</v>
      </c>
      <c r="X236" s="160">
        <f t="shared" si="151"/>
        <v>1.0028673977735223</v>
      </c>
      <c r="Y236" s="160">
        <f t="shared" si="152"/>
        <v>-7.563812339069674E-2</v>
      </c>
      <c r="Z236" s="98" t="str">
        <f t="shared" si="142"/>
        <v>0.999952668023703+0.00899900817695159i</v>
      </c>
      <c r="AA236" s="160">
        <f t="shared" si="153"/>
        <v>0.99999316019455387</v>
      </c>
      <c r="AB236" s="160">
        <f t="shared" si="154"/>
        <v>8.9991911955922439E-3</v>
      </c>
      <c r="AC236" s="171" t="e">
        <f t="shared" si="155"/>
        <v>#DIV/0!</v>
      </c>
      <c r="AD236" s="190" t="e">
        <f t="shared" si="156"/>
        <v>#DIV/0!</v>
      </c>
      <c r="AE236" s="169" t="e">
        <f t="shared" si="157"/>
        <v>#DIV/0!</v>
      </c>
      <c r="AF236" s="98" t="str">
        <f t="shared" si="143"/>
        <v>-0.0000182926829268293</v>
      </c>
      <c r="AG236" s="98" t="str">
        <f t="shared" si="144"/>
        <v>0.000211311884424689i</v>
      </c>
      <c r="AH236" s="98">
        <f t="shared" si="158"/>
        <v>2.11311884424689E-4</v>
      </c>
      <c r="AI236" s="98">
        <f t="shared" si="159"/>
        <v>1.5707963267948966</v>
      </c>
      <c r="AJ236" s="98" t="str">
        <f t="shared" si="145"/>
        <v>1+0.0207148205494255i</v>
      </c>
      <c r="AK236" s="98">
        <f t="shared" si="160"/>
        <v>1.0002145288838764</v>
      </c>
      <c r="AL236" s="98">
        <f t="shared" si="161"/>
        <v>2.071185837603097E-2</v>
      </c>
      <c r="AM236" s="98" t="str">
        <f t="shared" si="146"/>
        <v>1+2.09219687549197i</v>
      </c>
      <c r="AN236" s="98">
        <f t="shared" si="162"/>
        <v>2.3188979636496216</v>
      </c>
      <c r="AO236" s="98">
        <f t="shared" si="163"/>
        <v>1.1249303837986511</v>
      </c>
      <c r="AP236" s="168" t="str">
        <f t="shared" si="164"/>
        <v>-0.179245533124567+0.0902802616047474i</v>
      </c>
      <c r="AQ236" s="98">
        <f t="shared" si="165"/>
        <v>-13.949160716289203</v>
      </c>
      <c r="AR236" s="169">
        <f t="shared" si="166"/>
        <v>153.26706116687532</v>
      </c>
      <c r="AS236" s="168" t="e">
        <f t="shared" si="167"/>
        <v>#DIV/0!</v>
      </c>
      <c r="AT236" s="190" t="e">
        <f t="shared" si="168"/>
        <v>#DIV/0!</v>
      </c>
      <c r="AU236" s="169" t="e">
        <f t="shared" si="169"/>
        <v>#DIV/0!</v>
      </c>
      <c r="AV236" s="225"/>
      <c r="AX236" t="e">
        <f t="shared" si="170"/>
        <v>#DIV/0!</v>
      </c>
      <c r="AY236" t="e">
        <f t="shared" si="171"/>
        <v>#DIV/0!</v>
      </c>
    </row>
    <row r="237" spans="14:51" x14ac:dyDescent="0.25">
      <c r="N237" s="170">
        <v>19</v>
      </c>
      <c r="O237" s="199">
        <f t="shared" si="172"/>
        <v>1548.8166189124822</v>
      </c>
      <c r="P237" s="189" t="str">
        <f t="shared" si="138"/>
        <v>290</v>
      </c>
      <c r="Q237" s="160" t="e">
        <f t="shared" si="139"/>
        <v>#DIV/0!</v>
      </c>
      <c r="R237" s="160" t="e">
        <f t="shared" si="147"/>
        <v>#DIV/0!</v>
      </c>
      <c r="S237" s="160" t="e">
        <f t="shared" si="148"/>
        <v>#DIV/0!</v>
      </c>
      <c r="T237" s="160" t="e">
        <f t="shared" si="140"/>
        <v>#DIV/0!</v>
      </c>
      <c r="U237" s="160" t="e">
        <f t="shared" si="149"/>
        <v>#DIV/0!</v>
      </c>
      <c r="V237" s="160" t="e">
        <f t="shared" si="150"/>
        <v>#DIV/0!</v>
      </c>
      <c r="W237" s="98" t="str">
        <f t="shared" si="141"/>
        <v>1-0.0775479051557487i</v>
      </c>
      <c r="X237" s="160">
        <f t="shared" si="151"/>
        <v>1.0030023317989072</v>
      </c>
      <c r="Y237" s="160">
        <f t="shared" si="152"/>
        <v>-7.7393014284510772E-2</v>
      </c>
      <c r="Z237" s="98" t="str">
        <f t="shared" si="142"/>
        <v>0.999950437336384+0.00920862200495176i</v>
      </c>
      <c r="AA237" s="160">
        <f t="shared" si="153"/>
        <v>0.99999283789858007</v>
      </c>
      <c r="AB237" s="160">
        <f t="shared" si="154"/>
        <v>9.2088181128306672E-3</v>
      </c>
      <c r="AC237" s="171" t="e">
        <f t="shared" si="155"/>
        <v>#DIV/0!</v>
      </c>
      <c r="AD237" s="190" t="e">
        <f t="shared" si="156"/>
        <v>#DIV/0!</v>
      </c>
      <c r="AE237" s="169" t="e">
        <f t="shared" si="157"/>
        <v>#DIV/0!</v>
      </c>
      <c r="AF237" s="98" t="str">
        <f t="shared" si="143"/>
        <v>-0.0000182926829268293</v>
      </c>
      <c r="AG237" s="98" t="str">
        <f t="shared" si="144"/>
        <v>0.000216233970517425i</v>
      </c>
      <c r="AH237" s="98">
        <f t="shared" si="158"/>
        <v>2.16233970517425E-4</v>
      </c>
      <c r="AI237" s="98">
        <f t="shared" si="159"/>
        <v>1.5707963267948966</v>
      </c>
      <c r="AJ237" s="98" t="str">
        <f t="shared" si="145"/>
        <v>1+0.0211973307045804i</v>
      </c>
      <c r="AK237" s="98">
        <f t="shared" si="160"/>
        <v>1.0002246381833431</v>
      </c>
      <c r="AL237" s="98">
        <f t="shared" si="161"/>
        <v>2.1194156717101526E-2</v>
      </c>
      <c r="AM237" s="98" t="str">
        <f t="shared" si="146"/>
        <v>1+2.14093040116262i</v>
      </c>
      <c r="AN237" s="98">
        <f t="shared" si="162"/>
        <v>2.3629606392452533</v>
      </c>
      <c r="AO237" s="98">
        <f t="shared" si="163"/>
        <v>1.1338243491030229</v>
      </c>
      <c r="AP237" s="168" t="str">
        <f t="shared" si="164"/>
        <v>-0.179241909863259+0.0883961620318624i</v>
      </c>
      <c r="AQ237" s="98">
        <f t="shared" si="165"/>
        <v>-13.98575153955756</v>
      </c>
      <c r="AR237" s="169">
        <f t="shared" si="166"/>
        <v>153.74901418254214</v>
      </c>
      <c r="AS237" s="168" t="e">
        <f t="shared" si="167"/>
        <v>#DIV/0!</v>
      </c>
      <c r="AT237" s="190" t="e">
        <f t="shared" si="168"/>
        <v>#DIV/0!</v>
      </c>
      <c r="AU237" s="169" t="e">
        <f t="shared" si="169"/>
        <v>#DIV/0!</v>
      </c>
      <c r="AV237" s="225"/>
      <c r="AX237" t="e">
        <f t="shared" si="170"/>
        <v>#DIV/0!</v>
      </c>
      <c r="AY237" t="e">
        <f t="shared" si="171"/>
        <v>#DIV/0!</v>
      </c>
    </row>
    <row r="238" spans="14:51" x14ac:dyDescent="0.25">
      <c r="N238" s="170">
        <v>20</v>
      </c>
      <c r="O238" s="199">
        <f t="shared" si="172"/>
        <v>1584.8931924611156</v>
      </c>
      <c r="P238" s="189" t="str">
        <f t="shared" si="138"/>
        <v>290</v>
      </c>
      <c r="Q238" s="160" t="e">
        <f t="shared" si="139"/>
        <v>#DIV/0!</v>
      </c>
      <c r="R238" s="160" t="e">
        <f t="shared" si="147"/>
        <v>#DIV/0!</v>
      </c>
      <c r="S238" s="160" t="e">
        <f t="shared" si="148"/>
        <v>#DIV/0!</v>
      </c>
      <c r="T238" s="160" t="e">
        <f t="shared" si="140"/>
        <v>#DIV/0!</v>
      </c>
      <c r="U238" s="160" t="e">
        <f t="shared" si="149"/>
        <v>#DIV/0!</v>
      </c>
      <c r="V238" s="160" t="e">
        <f t="shared" si="150"/>
        <v>#DIV/0!</v>
      </c>
      <c r="W238" s="98" t="str">
        <f t="shared" si="141"/>
        <v>1-0.0793542279119303i</v>
      </c>
      <c r="X238" s="160">
        <f t="shared" si="151"/>
        <v>1.003143605615616</v>
      </c>
      <c r="Y238" s="160">
        <f t="shared" si="152"/>
        <v>-7.9188287430541293E-2</v>
      </c>
      <c r="Z238" s="98" t="str">
        <f t="shared" si="142"/>
        <v>0.99994810152001+0.0094231183662295i</v>
      </c>
      <c r="AA238" s="160">
        <f t="shared" si="153"/>
        <v>0.9999925004184862</v>
      </c>
      <c r="AB238" s="160">
        <f t="shared" si="154"/>
        <v>9.4233284994643014E-3</v>
      </c>
      <c r="AC238" s="171" t="e">
        <f t="shared" si="155"/>
        <v>#DIV/0!</v>
      </c>
      <c r="AD238" s="190" t="e">
        <f t="shared" si="156"/>
        <v>#DIV/0!</v>
      </c>
      <c r="AE238" s="169" t="e">
        <f t="shared" si="157"/>
        <v>#DIV/0!</v>
      </c>
      <c r="AF238" s="98" t="str">
        <f t="shared" si="143"/>
        <v>-0.0000182926829268293</v>
      </c>
      <c r="AG238" s="98" t="str">
        <f t="shared" si="144"/>
        <v>0.000221270706723524i</v>
      </c>
      <c r="AH238" s="98">
        <f t="shared" si="158"/>
        <v>2.21270706723524E-4</v>
      </c>
      <c r="AI238" s="98">
        <f t="shared" si="159"/>
        <v>1.5707963267948966</v>
      </c>
      <c r="AJ238" s="98" t="str">
        <f t="shared" si="145"/>
        <v>1+0.0216910799650548i</v>
      </c>
      <c r="AK238" s="98">
        <f t="shared" si="160"/>
        <v>1.0002352238099048</v>
      </c>
      <c r="AL238" s="98">
        <f t="shared" si="161"/>
        <v>2.1687679019391719E-2</v>
      </c>
      <c r="AM238" s="98" t="str">
        <f t="shared" si="146"/>
        <v>1+2.19079907647054i</v>
      </c>
      <c r="AN238" s="98">
        <f t="shared" si="162"/>
        <v>2.4082359920622753</v>
      </c>
      <c r="AO238" s="98">
        <f t="shared" si="163"/>
        <v>1.1425878545424639</v>
      </c>
      <c r="AP238" s="168" t="str">
        <f t="shared" si="164"/>
        <v>-0.179238115999903+0.0865589240363628i</v>
      </c>
      <c r="AQ238" s="98">
        <f t="shared" si="165"/>
        <v>-14.020992357342625</v>
      </c>
      <c r="AR238" s="169">
        <f t="shared" si="166"/>
        <v>154.22284931294521</v>
      </c>
      <c r="AS238" s="168" t="e">
        <f t="shared" si="167"/>
        <v>#DIV/0!</v>
      </c>
      <c r="AT238" s="190" t="e">
        <f t="shared" si="168"/>
        <v>#DIV/0!</v>
      </c>
      <c r="AU238" s="169" t="e">
        <f t="shared" si="169"/>
        <v>#DIV/0!</v>
      </c>
      <c r="AV238" s="225"/>
      <c r="AX238" t="e">
        <f t="shared" si="170"/>
        <v>#DIV/0!</v>
      </c>
      <c r="AY238" t="e">
        <f t="shared" si="171"/>
        <v>#DIV/0!</v>
      </c>
    </row>
    <row r="239" spans="14:51" x14ac:dyDescent="0.25">
      <c r="N239" s="170">
        <v>21</v>
      </c>
      <c r="O239" s="199">
        <f t="shared" si="172"/>
        <v>1621.8100973589308</v>
      </c>
      <c r="P239" s="189" t="str">
        <f t="shared" si="138"/>
        <v>290</v>
      </c>
      <c r="Q239" s="160" t="e">
        <f t="shared" si="139"/>
        <v>#DIV/0!</v>
      </c>
      <c r="R239" s="160" t="e">
        <f t="shared" si="147"/>
        <v>#DIV/0!</v>
      </c>
      <c r="S239" s="160" t="e">
        <f t="shared" si="148"/>
        <v>#DIV/0!</v>
      </c>
      <c r="T239" s="160" t="e">
        <f t="shared" si="140"/>
        <v>#DIV/0!</v>
      </c>
      <c r="U239" s="160" t="e">
        <f t="shared" si="149"/>
        <v>#DIV/0!</v>
      </c>
      <c r="V239" s="160" t="e">
        <f t="shared" si="150"/>
        <v>#DIV/0!</v>
      </c>
      <c r="W239" s="98" t="str">
        <f t="shared" si="141"/>
        <v>1-0.0812026253301278i</v>
      </c>
      <c r="X239" s="160">
        <f t="shared" si="151"/>
        <v>1.0032915161409994</v>
      </c>
      <c r="Y239" s="160">
        <f t="shared" si="152"/>
        <v>-8.1024848391122187E-2</v>
      </c>
      <c r="Z239" s="98" t="str">
        <f t="shared" si="142"/>
        <v>0.999945655620002+0.00964261098959468i</v>
      </c>
      <c r="AA239" s="160">
        <f t="shared" si="153"/>
        <v>0.99999214703917183</v>
      </c>
      <c r="AB239" s="160">
        <f t="shared" si="154"/>
        <v>9.6428361512515895E-3</v>
      </c>
      <c r="AC239" s="171" t="e">
        <f t="shared" si="155"/>
        <v>#DIV/0!</v>
      </c>
      <c r="AD239" s="190" t="e">
        <f t="shared" si="156"/>
        <v>#DIV/0!</v>
      </c>
      <c r="AE239" s="169" t="e">
        <f t="shared" si="157"/>
        <v>#DIV/0!</v>
      </c>
      <c r="AF239" s="98" t="str">
        <f t="shared" si="143"/>
        <v>-0.0000182926829268293</v>
      </c>
      <c r="AG239" s="98" t="str">
        <f t="shared" si="144"/>
        <v>0.000226424763587192i</v>
      </c>
      <c r="AH239" s="98">
        <f t="shared" si="158"/>
        <v>2.2642476358719201E-4</v>
      </c>
      <c r="AI239" s="98">
        <f t="shared" si="159"/>
        <v>1.5707963267948966</v>
      </c>
      <c r="AJ239" s="98" t="str">
        <f t="shared" si="145"/>
        <v>1+0.022196330123242i</v>
      </c>
      <c r="AK239" s="98">
        <f t="shared" si="160"/>
        <v>1.0002463082016049</v>
      </c>
      <c r="AL239" s="98">
        <f t="shared" si="161"/>
        <v>2.2192685992772167E-2</v>
      </c>
      <c r="AM239" s="98" t="str">
        <f t="shared" si="146"/>
        <v>1+2.24182934244744i</v>
      </c>
      <c r="AN239" s="98">
        <f t="shared" si="162"/>
        <v>2.4547502521964062</v>
      </c>
      <c r="AO239" s="98">
        <f t="shared" si="163"/>
        <v>1.1512201613892781</v>
      </c>
      <c r="AP239" s="168" t="str">
        <f t="shared" si="164"/>
        <v>-0.179234143509405+0.0847675729731958i</v>
      </c>
      <c r="AQ239" s="98">
        <f t="shared" si="165"/>
        <v>-14.054923201876665</v>
      </c>
      <c r="AR239" s="169">
        <f t="shared" si="166"/>
        <v>154.68850929453018</v>
      </c>
      <c r="AS239" s="168" t="e">
        <f t="shared" si="167"/>
        <v>#DIV/0!</v>
      </c>
      <c r="AT239" s="190" t="e">
        <f t="shared" si="168"/>
        <v>#DIV/0!</v>
      </c>
      <c r="AU239" s="169" t="e">
        <f t="shared" si="169"/>
        <v>#DIV/0!</v>
      </c>
      <c r="AV239" s="225"/>
      <c r="AX239" t="e">
        <f t="shared" si="170"/>
        <v>#DIV/0!</v>
      </c>
      <c r="AY239" t="e">
        <f t="shared" si="171"/>
        <v>#DIV/0!</v>
      </c>
    </row>
    <row r="240" spans="14:51" x14ac:dyDescent="0.25">
      <c r="N240" s="170">
        <v>22</v>
      </c>
      <c r="O240" s="199">
        <f t="shared" si="172"/>
        <v>1659.5869074375626</v>
      </c>
      <c r="P240" s="189" t="str">
        <f t="shared" si="138"/>
        <v>290</v>
      </c>
      <c r="Q240" s="160" t="e">
        <f t="shared" si="139"/>
        <v>#DIV/0!</v>
      </c>
      <c r="R240" s="160" t="e">
        <f t="shared" si="147"/>
        <v>#DIV/0!</v>
      </c>
      <c r="S240" s="160" t="e">
        <f t="shared" si="148"/>
        <v>#DIV/0!</v>
      </c>
      <c r="T240" s="160" t="e">
        <f t="shared" si="140"/>
        <v>#DIV/0!</v>
      </c>
      <c r="U240" s="160" t="e">
        <f t="shared" si="149"/>
        <v>#DIV/0!</v>
      </c>
      <c r="V240" s="160" t="e">
        <f t="shared" si="150"/>
        <v>#DIV/0!</v>
      </c>
      <c r="W240" s="98" t="str">
        <f t="shared" si="141"/>
        <v>1-0.0830940774551197i</v>
      </c>
      <c r="X240" s="160">
        <f t="shared" si="151"/>
        <v>1.0034463741068167</v>
      </c>
      <c r="Y240" s="160">
        <f t="shared" si="152"/>
        <v>-8.2903621350434401E-2</v>
      </c>
      <c r="Z240" s="98" t="str">
        <f t="shared" si="142"/>
        <v>0.999943094448278+0.00986721625294166i</v>
      </c>
      <c r="AA240" s="160">
        <f t="shared" si="153"/>
        <v>0.99999177701188136</v>
      </c>
      <c r="AB240" s="160">
        <f t="shared" si="154"/>
        <v>9.8674575178233585E-3</v>
      </c>
      <c r="AC240" s="171" t="e">
        <f t="shared" si="155"/>
        <v>#DIV/0!</v>
      </c>
      <c r="AD240" s="190" t="e">
        <f t="shared" si="156"/>
        <v>#DIV/0!</v>
      </c>
      <c r="AE240" s="169" t="e">
        <f t="shared" si="157"/>
        <v>#DIV/0!</v>
      </c>
      <c r="AF240" s="98" t="str">
        <f t="shared" si="143"/>
        <v>-0.0000182926829268293</v>
      </c>
      <c r="AG240" s="98" t="str">
        <f t="shared" si="144"/>
        <v>0.000231698873857601i</v>
      </c>
      <c r="AH240" s="98">
        <f t="shared" si="158"/>
        <v>2.3169887385760099E-4</v>
      </c>
      <c r="AI240" s="98">
        <f t="shared" si="159"/>
        <v>1.5707963267948966</v>
      </c>
      <c r="AJ240" s="98" t="str">
        <f t="shared" si="145"/>
        <v>1+0.0227133490694638i</v>
      </c>
      <c r="AK240" s="98">
        <f t="shared" si="160"/>
        <v>1.00025791485294</v>
      </c>
      <c r="AL240" s="98">
        <f t="shared" si="161"/>
        <v>2.270944436769055E-2</v>
      </c>
      <c r="AM240" s="98" t="str">
        <f t="shared" si="146"/>
        <v>1+2.29404825601584i</v>
      </c>
      <c r="AN240" s="98">
        <f t="shared" si="162"/>
        <v>2.5025301998036542</v>
      </c>
      <c r="AO240" s="98">
        <f t="shared" si="163"/>
        <v>1.1597206995590854</v>
      </c>
      <c r="AP240" s="168" t="str">
        <f t="shared" si="164"/>
        <v>-0.179229983989923+0.0830211584902414i</v>
      </c>
      <c r="AQ240" s="98">
        <f t="shared" si="165"/>
        <v>-14.087583714486072</v>
      </c>
      <c r="AR240" s="169">
        <f t="shared" si="166"/>
        <v>155.14594618133907</v>
      </c>
      <c r="AS240" s="168" t="e">
        <f t="shared" si="167"/>
        <v>#DIV/0!</v>
      </c>
      <c r="AT240" s="190" t="e">
        <f t="shared" si="168"/>
        <v>#DIV/0!</v>
      </c>
      <c r="AU240" s="169" t="e">
        <f t="shared" si="169"/>
        <v>#DIV/0!</v>
      </c>
      <c r="AV240" s="225"/>
      <c r="AX240" t="e">
        <f t="shared" si="170"/>
        <v>#DIV/0!</v>
      </c>
      <c r="AY240" t="e">
        <f t="shared" si="171"/>
        <v>#DIV/0!</v>
      </c>
    </row>
    <row r="241" spans="14:51" x14ac:dyDescent="0.25">
      <c r="N241" s="170">
        <v>23</v>
      </c>
      <c r="O241" s="199">
        <f t="shared" si="172"/>
        <v>1698.2436524617447</v>
      </c>
      <c r="P241" s="189" t="str">
        <f t="shared" si="138"/>
        <v>290</v>
      </c>
      <c r="Q241" s="160" t="e">
        <f t="shared" si="139"/>
        <v>#DIV/0!</v>
      </c>
      <c r="R241" s="160" t="e">
        <f t="shared" si="147"/>
        <v>#DIV/0!</v>
      </c>
      <c r="S241" s="160" t="e">
        <f t="shared" si="148"/>
        <v>#DIV/0!</v>
      </c>
      <c r="T241" s="160" t="e">
        <f t="shared" si="140"/>
        <v>#DIV/0!</v>
      </c>
      <c r="U241" s="160" t="e">
        <f t="shared" si="149"/>
        <v>#DIV/0!</v>
      </c>
      <c r="V241" s="160" t="e">
        <f t="shared" si="150"/>
        <v>#DIV/0!</v>
      </c>
      <c r="W241" s="98" t="str">
        <f t="shared" si="141"/>
        <v>1-0.0850295871598579i</v>
      </c>
      <c r="X241" s="160">
        <f t="shared" si="151"/>
        <v>1.0036085046932275</v>
      </c>
      <c r="Y241" s="160">
        <f t="shared" si="152"/>
        <v>-8.482554937586681E-2</v>
      </c>
      <c r="Z241" s="98" t="str">
        <f t="shared" si="142"/>
        <v>0.999940412572249+0.0100970532449539i</v>
      </c>
      <c r="AA241" s="160">
        <f t="shared" si="153"/>
        <v>0.99999138955262556</v>
      </c>
      <c r="AB241" s="160">
        <f t="shared" si="154"/>
        <v>1.0097311764729814E-2</v>
      </c>
      <c r="AC241" s="171" t="e">
        <f t="shared" si="155"/>
        <v>#DIV/0!</v>
      </c>
      <c r="AD241" s="190" t="e">
        <f t="shared" si="156"/>
        <v>#DIV/0!</v>
      </c>
      <c r="AE241" s="169" t="e">
        <f t="shared" si="157"/>
        <v>#DIV/0!</v>
      </c>
      <c r="AF241" s="98" t="str">
        <f t="shared" si="143"/>
        <v>-0.0000182926829268293</v>
      </c>
      <c r="AG241" s="98" t="str">
        <f t="shared" si="144"/>
        <v>0.000237095833937825i</v>
      </c>
      <c r="AH241" s="98">
        <f t="shared" si="158"/>
        <v>2.3709583393782501E-4</v>
      </c>
      <c r="AI241" s="98">
        <f t="shared" si="159"/>
        <v>1.5707963267948966</v>
      </c>
      <c r="AJ241" s="98" t="str">
        <f t="shared" si="145"/>
        <v>1+0.0232424109340088i</v>
      </c>
      <c r="AK241" s="98">
        <f t="shared" si="160"/>
        <v>1.000270068364552</v>
      </c>
      <c r="AL241" s="98">
        <f t="shared" si="161"/>
        <v>2.3238227031686355E-2</v>
      </c>
      <c r="AM241" s="98" t="str">
        <f t="shared" si="146"/>
        <v>1+2.34748350433489i</v>
      </c>
      <c r="AN241" s="98">
        <f t="shared" si="162"/>
        <v>2.5516031829272383</v>
      </c>
      <c r="AO241" s="98">
        <f t="shared" si="163"/>
        <v>1.1680890611697403</v>
      </c>
      <c r="AP241" s="168" t="str">
        <f t="shared" si="164"/>
        <v>-0.179225628645247+0.0813187540217906i</v>
      </c>
      <c r="AQ241" s="98">
        <f t="shared" si="165"/>
        <v>-14.119013088575784</v>
      </c>
      <c r="AR241" s="169">
        <f t="shared" si="166"/>
        <v>155.59512096814228</v>
      </c>
      <c r="AS241" s="168" t="e">
        <f t="shared" si="167"/>
        <v>#DIV/0!</v>
      </c>
      <c r="AT241" s="190" t="e">
        <f t="shared" si="168"/>
        <v>#DIV/0!</v>
      </c>
      <c r="AU241" s="169" t="e">
        <f t="shared" si="169"/>
        <v>#DIV/0!</v>
      </c>
      <c r="AV241" s="225"/>
      <c r="AX241" t="e">
        <f t="shared" si="170"/>
        <v>#DIV/0!</v>
      </c>
      <c r="AY241" t="e">
        <f t="shared" si="171"/>
        <v>#DIV/0!</v>
      </c>
    </row>
    <row r="242" spans="14:51" x14ac:dyDescent="0.25">
      <c r="N242" s="170">
        <v>24</v>
      </c>
      <c r="O242" s="199">
        <f t="shared" si="172"/>
        <v>1737.8008287493772</v>
      </c>
      <c r="P242" s="189" t="str">
        <f t="shared" si="138"/>
        <v>290</v>
      </c>
      <c r="Q242" s="160" t="e">
        <f t="shared" si="139"/>
        <v>#DIV/0!</v>
      </c>
      <c r="R242" s="160" t="e">
        <f t="shared" si="147"/>
        <v>#DIV/0!</v>
      </c>
      <c r="S242" s="160" t="e">
        <f t="shared" si="148"/>
        <v>#DIV/0!</v>
      </c>
      <c r="T242" s="160" t="e">
        <f t="shared" si="140"/>
        <v>#DIV/0!</v>
      </c>
      <c r="U242" s="160" t="e">
        <f t="shared" si="149"/>
        <v>#DIV/0!</v>
      </c>
      <c r="V242" s="160" t="e">
        <f t="shared" si="150"/>
        <v>#DIV/0!</v>
      </c>
      <c r="W242" s="98" t="str">
        <f t="shared" si="141"/>
        <v>1-0.0870101806772085i</v>
      </c>
      <c r="X242" s="160">
        <f t="shared" si="151"/>
        <v>1.0037782481910438</v>
      </c>
      <c r="Y242" s="160">
        <f t="shared" si="152"/>
        <v>-8.6791594673666331E-2</v>
      </c>
      <c r="Z242" s="98" t="str">
        <f t="shared" si="142"/>
        <v>0.999937604303297+0.010332243828247i</v>
      </c>
      <c r="AA242" s="160">
        <f t="shared" si="153"/>
        <v>0.9999909838405262</v>
      </c>
      <c r="AB242" s="160">
        <f t="shared" si="154"/>
        <v>1.033252083695046E-2</v>
      </c>
      <c r="AC242" s="171" t="e">
        <f t="shared" si="155"/>
        <v>#DIV/0!</v>
      </c>
      <c r="AD242" s="190" t="e">
        <f t="shared" si="156"/>
        <v>#DIV/0!</v>
      </c>
      <c r="AE242" s="169" t="e">
        <f t="shared" si="157"/>
        <v>#DIV/0!</v>
      </c>
      <c r="AF242" s="98" t="str">
        <f t="shared" si="143"/>
        <v>-0.0000182926829268293</v>
      </c>
      <c r="AG242" s="98" t="str">
        <f t="shared" si="144"/>
        <v>0.000242618505367538i</v>
      </c>
      <c r="AH242" s="98">
        <f t="shared" si="158"/>
        <v>2.4261850536753799E-4</v>
      </c>
      <c r="AI242" s="98">
        <f t="shared" si="159"/>
        <v>1.5707963267948966</v>
      </c>
      <c r="AJ242" s="98" t="str">
        <f t="shared" si="145"/>
        <v>1+0.0237837962324809i</v>
      </c>
      <c r="AK242" s="98">
        <f t="shared" si="160"/>
        <v>1.0002827944952508</v>
      </c>
      <c r="AL242" s="98">
        <f t="shared" si="161"/>
        <v>2.3779313168821727E-2</v>
      </c>
      <c r="AM242" s="98" t="str">
        <f t="shared" si="146"/>
        <v>1+2.40216341948057i</v>
      </c>
      <c r="AN242" s="98">
        <f t="shared" si="162"/>
        <v>2.6019971356422715</v>
      </c>
      <c r="AO242" s="98">
        <f t="shared" si="163"/>
        <v>1.1763249939305578</v>
      </c>
      <c r="AP242" s="168" t="str">
        <f t="shared" si="164"/>
        <v>-0.179221068266367+0.079659456294445i</v>
      </c>
      <c r="AQ242" s="98">
        <f t="shared" si="165"/>
        <v>-14.149250017519666</v>
      </c>
      <c r="AR242" s="169">
        <f t="shared" si="166"/>
        <v>156.03600320367983</v>
      </c>
      <c r="AS242" s="168" t="e">
        <f t="shared" si="167"/>
        <v>#DIV/0!</v>
      </c>
      <c r="AT242" s="190" t="e">
        <f t="shared" si="168"/>
        <v>#DIV/0!</v>
      </c>
      <c r="AU242" s="169" t="e">
        <f t="shared" si="169"/>
        <v>#DIV/0!</v>
      </c>
      <c r="AV242" s="225"/>
      <c r="AX242" t="e">
        <f t="shared" si="170"/>
        <v>#DIV/0!</v>
      </c>
      <c r="AY242" t="e">
        <f t="shared" si="171"/>
        <v>#DIV/0!</v>
      </c>
    </row>
    <row r="243" spans="14:51" x14ac:dyDescent="0.25">
      <c r="N243" s="170">
        <v>25</v>
      </c>
      <c r="O243" s="199">
        <f t="shared" si="172"/>
        <v>1778.2794100389244</v>
      </c>
      <c r="P243" s="189" t="str">
        <f t="shared" si="138"/>
        <v>290</v>
      </c>
      <c r="Q243" s="160" t="e">
        <f t="shared" si="139"/>
        <v>#DIV/0!</v>
      </c>
      <c r="R243" s="160" t="e">
        <f t="shared" si="147"/>
        <v>#DIV/0!</v>
      </c>
      <c r="S243" s="160" t="e">
        <f t="shared" si="148"/>
        <v>#DIV/0!</v>
      </c>
      <c r="T243" s="160" t="e">
        <f t="shared" si="140"/>
        <v>#DIV/0!</v>
      </c>
      <c r="U243" s="160" t="e">
        <f t="shared" si="149"/>
        <v>#DIV/0!</v>
      </c>
      <c r="V243" s="160" t="e">
        <f t="shared" si="150"/>
        <v>#DIV/0!</v>
      </c>
      <c r="W243" s="98" t="str">
        <f t="shared" si="141"/>
        <v>1-0.08903690814407i</v>
      </c>
      <c r="X243" s="160">
        <f t="shared" si="151"/>
        <v>1.0039559606934239</v>
      </c>
      <c r="Y243" s="160">
        <f t="shared" si="152"/>
        <v>-8.8802738837946163E-2</v>
      </c>
      <c r="Z243" s="98" t="str">
        <f t="shared" si="142"/>
        <v>0.999934663684707+0.0105729127039813i</v>
      </c>
      <c r="AA243" s="160">
        <f t="shared" si="153"/>
        <v>0.9999905590160808</v>
      </c>
      <c r="AB243" s="160">
        <f t="shared" si="154"/>
        <v>1.0573209523899832E-2</v>
      </c>
      <c r="AC243" s="171" t="e">
        <f t="shared" si="155"/>
        <v>#DIV/0!</v>
      </c>
      <c r="AD243" s="190" t="e">
        <f t="shared" si="156"/>
        <v>#DIV/0!</v>
      </c>
      <c r="AE243" s="169" t="e">
        <f t="shared" si="157"/>
        <v>#DIV/0!</v>
      </c>
      <c r="AF243" s="98" t="str">
        <f t="shared" si="143"/>
        <v>-0.0000182926829268293</v>
      </c>
      <c r="AG243" s="98" t="str">
        <f t="shared" si="144"/>
        <v>0.000248269816340232i</v>
      </c>
      <c r="AH243" s="98">
        <f t="shared" si="158"/>
        <v>2.4826981634023198E-4</v>
      </c>
      <c r="AI243" s="98">
        <f t="shared" si="159"/>
        <v>1.5707963267948966</v>
      </c>
      <c r="AJ243" s="98" t="str">
        <f t="shared" si="145"/>
        <v>1+0.0243377920145312i</v>
      </c>
      <c r="AK243" s="98">
        <f t="shared" si="160"/>
        <v>1.00029612021648</v>
      </c>
      <c r="AL243" s="98">
        <f t="shared" si="161"/>
        <v>2.4332988402073714E-2</v>
      </c>
      <c r="AM243" s="98" t="str">
        <f t="shared" si="146"/>
        <v>1+2.45811699346765i</v>
      </c>
      <c r="AN243" s="98">
        <f t="shared" si="162"/>
        <v>2.6537405965117311</v>
      </c>
      <c r="AO243" s="98">
        <f t="shared" si="163"/>
        <v>1.1844283944057907</v>
      </c>
      <c r="AP243" s="168" t="str">
        <f t="shared" si="164"/>
        <v>-0.179216293212185+0.0780423848451687i</v>
      </c>
      <c r="AQ243" s="98">
        <f t="shared" si="165"/>
        <v>-14.178332647372855</v>
      </c>
      <c r="AR243" s="169">
        <f t="shared" si="166"/>
        <v>156.46857059652868</v>
      </c>
      <c r="AS243" s="168" t="e">
        <f t="shared" si="167"/>
        <v>#DIV/0!</v>
      </c>
      <c r="AT243" s="190" t="e">
        <f t="shared" si="168"/>
        <v>#DIV/0!</v>
      </c>
      <c r="AU243" s="169" t="e">
        <f t="shared" si="169"/>
        <v>#DIV/0!</v>
      </c>
      <c r="AV243" s="225"/>
      <c r="AX243" t="e">
        <f t="shared" si="170"/>
        <v>#DIV/0!</v>
      </c>
      <c r="AY243" t="e">
        <f t="shared" si="171"/>
        <v>#DIV/0!</v>
      </c>
    </row>
    <row r="244" spans="14:51" x14ac:dyDescent="0.25">
      <c r="N244" s="170">
        <v>26</v>
      </c>
      <c r="O244" s="199">
        <f t="shared" si="172"/>
        <v>1819.7008586099832</v>
      </c>
      <c r="P244" s="189" t="str">
        <f t="shared" si="138"/>
        <v>290</v>
      </c>
      <c r="Q244" s="160" t="e">
        <f t="shared" si="139"/>
        <v>#DIV/0!</v>
      </c>
      <c r="R244" s="160" t="e">
        <f t="shared" si="147"/>
        <v>#DIV/0!</v>
      </c>
      <c r="S244" s="160" t="e">
        <f t="shared" si="148"/>
        <v>#DIV/0!</v>
      </c>
      <c r="T244" s="160" t="e">
        <f t="shared" si="140"/>
        <v>#DIV/0!</v>
      </c>
      <c r="U244" s="160" t="e">
        <f t="shared" si="149"/>
        <v>#DIV/0!</v>
      </c>
      <c r="V244" s="160" t="e">
        <f t="shared" si="150"/>
        <v>#DIV/0!</v>
      </c>
      <c r="W244" s="98" t="str">
        <f t="shared" si="141"/>
        <v>1-0.0911108441581714i</v>
      </c>
      <c r="X244" s="160">
        <f t="shared" si="151"/>
        <v>1.0041420148182301</v>
      </c>
      <c r="Y244" s="160">
        <f t="shared" si="152"/>
        <v>-9.0859983092080973E-2</v>
      </c>
      <c r="Z244" s="98" t="str">
        <f t="shared" si="142"/>
        <v>0.999931584479033+0.0108191874779801i</v>
      </c>
      <c r="AA244" s="160">
        <f t="shared" si="153"/>
        <v>0.99999011417935191</v>
      </c>
      <c r="AB244" s="160">
        <f t="shared" si="154"/>
        <v>1.0819505525966919E-2</v>
      </c>
      <c r="AC244" s="171" t="e">
        <f t="shared" si="155"/>
        <v>#DIV/0!</v>
      </c>
      <c r="AD244" s="190" t="e">
        <f t="shared" si="156"/>
        <v>#DIV/0!</v>
      </c>
      <c r="AE244" s="169" t="e">
        <f t="shared" si="157"/>
        <v>#DIV/0!</v>
      </c>
      <c r="AF244" s="98" t="str">
        <f t="shared" si="143"/>
        <v>-0.0000182926829268293</v>
      </c>
      <c r="AG244" s="98" t="str">
        <f t="shared" si="144"/>
        <v>0.000254052763255789i</v>
      </c>
      <c r="AH244" s="98">
        <f t="shared" si="158"/>
        <v>2.5405276325578897E-4</v>
      </c>
      <c r="AI244" s="98">
        <f t="shared" si="159"/>
        <v>1.5707963267948966</v>
      </c>
      <c r="AJ244" s="98" t="str">
        <f t="shared" si="145"/>
        <v>1+0.0249046920160561i</v>
      </c>
      <c r="AK244" s="98">
        <f t="shared" si="160"/>
        <v>1.0003100737693362</v>
      </c>
      <c r="AL244" s="98">
        <f t="shared" si="161"/>
        <v>2.4899544938740602E-2</v>
      </c>
      <c r="AM244" s="98" t="str">
        <f t="shared" si="146"/>
        <v>1+2.51537389362166i</v>
      </c>
      <c r="AN244" s="98">
        <f t="shared" si="162"/>
        <v>2.7068627273493924</v>
      </c>
      <c r="AO244" s="98">
        <f t="shared" si="163"/>
        <v>1.1923993011936969</v>
      </c>
      <c r="AP244" s="168" t="str">
        <f t="shared" si="164"/>
        <v>-0.17921129338934+0.0764666815512181i</v>
      </c>
      <c r="AQ244" s="98">
        <f t="shared" si="165"/>
        <v>-14.206298534296408</v>
      </c>
      <c r="AR244" s="169">
        <f t="shared" si="166"/>
        <v>156.89280861596129</v>
      </c>
      <c r="AS244" s="168" t="e">
        <f t="shared" si="167"/>
        <v>#DIV/0!</v>
      </c>
      <c r="AT244" s="190" t="e">
        <f t="shared" si="168"/>
        <v>#DIV/0!</v>
      </c>
      <c r="AU244" s="169" t="e">
        <f t="shared" si="169"/>
        <v>#DIV/0!</v>
      </c>
      <c r="AV244" s="225"/>
      <c r="AX244" t="e">
        <f t="shared" si="170"/>
        <v>#DIV/0!</v>
      </c>
      <c r="AY244" t="e">
        <f t="shared" si="171"/>
        <v>#DIV/0!</v>
      </c>
    </row>
    <row r="245" spans="14:51" x14ac:dyDescent="0.25">
      <c r="N245" s="170">
        <v>27</v>
      </c>
      <c r="O245" s="199">
        <f t="shared" si="172"/>
        <v>1862.0871366628687</v>
      </c>
      <c r="P245" s="189" t="str">
        <f t="shared" si="138"/>
        <v>290</v>
      </c>
      <c r="Q245" s="160" t="e">
        <f t="shared" si="139"/>
        <v>#DIV/0!</v>
      </c>
      <c r="R245" s="160" t="e">
        <f t="shared" si="147"/>
        <v>#DIV/0!</v>
      </c>
      <c r="S245" s="160" t="e">
        <f t="shared" si="148"/>
        <v>#DIV/0!</v>
      </c>
      <c r="T245" s="160" t="e">
        <f t="shared" si="140"/>
        <v>#DIV/0!</v>
      </c>
      <c r="U245" s="160" t="e">
        <f t="shared" si="149"/>
        <v>#DIV/0!</v>
      </c>
      <c r="V245" s="160" t="e">
        <f t="shared" si="150"/>
        <v>#DIV/0!</v>
      </c>
      <c r="W245" s="98" t="str">
        <f t="shared" si="141"/>
        <v>1-0.0932330883478406i</v>
      </c>
      <c r="X245" s="160">
        <f t="shared" si="151"/>
        <v>1.0043368004623132</v>
      </c>
      <c r="Y245" s="160">
        <f t="shared" si="152"/>
        <v>-9.2964348521424836E-2</v>
      </c>
      <c r="Z245" s="98" t="str">
        <f t="shared" si="142"/>
        <v>0.999928360154865+0.0110711987283888i</v>
      </c>
      <c r="AA245" s="160">
        <f t="shared" si="153"/>
        <v>0.99998964838806248</v>
      </c>
      <c r="AB245" s="160">
        <f t="shared" si="154"/>
        <v>1.1071539522625717E-2</v>
      </c>
      <c r="AC245" s="171" t="e">
        <f t="shared" si="155"/>
        <v>#DIV/0!</v>
      </c>
      <c r="AD245" s="190" t="e">
        <f t="shared" si="156"/>
        <v>#DIV/0!</v>
      </c>
      <c r="AE245" s="169" t="e">
        <f t="shared" si="157"/>
        <v>#DIV/0!</v>
      </c>
      <c r="AF245" s="98" t="str">
        <f t="shared" si="143"/>
        <v>-0.0000182926829268293</v>
      </c>
      <c r="AG245" s="98" t="str">
        <f t="shared" si="144"/>
        <v>0.00025997041230921i</v>
      </c>
      <c r="AH245" s="98">
        <f t="shared" si="158"/>
        <v>2.5997041230920999E-4</v>
      </c>
      <c r="AI245" s="98">
        <f t="shared" si="159"/>
        <v>1.5707963267948966</v>
      </c>
      <c r="AJ245" s="98" t="str">
        <f t="shared" si="145"/>
        <v>1+0.0254847968149406i</v>
      </c>
      <c r="AK245" s="98">
        <f t="shared" si="160"/>
        <v>1.0003246847242642</v>
      </c>
      <c r="AL245" s="98">
        <f t="shared" si="161"/>
        <v>2.5479281718909161E-2</v>
      </c>
      <c r="AM245" s="98" t="str">
        <f t="shared" si="146"/>
        <v>1+2.573964478309i</v>
      </c>
      <c r="AN245" s="98">
        <f t="shared" si="162"/>
        <v>2.7613933322865329</v>
      </c>
      <c r="AO245" s="98">
        <f t="shared" si="163"/>
        <v>1.2002378880596476</v>
      </c>
      <c r="AP245" s="168" t="str">
        <f t="shared" si="164"/>
        <v>-0.179206058231102+0.0749315101716867i</v>
      </c>
      <c r="AQ245" s="98">
        <f t="shared" si="165"/>
        <v>-14.233184606562562</v>
      </c>
      <c r="AR245" s="169">
        <f t="shared" si="166"/>
        <v>157.30871008999483</v>
      </c>
      <c r="AS245" s="168" t="e">
        <f t="shared" si="167"/>
        <v>#DIV/0!</v>
      </c>
      <c r="AT245" s="190" t="e">
        <f t="shared" si="168"/>
        <v>#DIV/0!</v>
      </c>
      <c r="AU245" s="169" t="e">
        <f t="shared" si="169"/>
        <v>#DIV/0!</v>
      </c>
      <c r="AV245" s="225"/>
      <c r="AX245" t="e">
        <f t="shared" si="170"/>
        <v>#DIV/0!</v>
      </c>
      <c r="AY245" t="e">
        <f t="shared" si="171"/>
        <v>#DIV/0!</v>
      </c>
    </row>
    <row r="246" spans="14:51" x14ac:dyDescent="0.25">
      <c r="N246" s="170">
        <v>28</v>
      </c>
      <c r="O246" s="199">
        <f t="shared" si="172"/>
        <v>1905.4607179632501</v>
      </c>
      <c r="P246" s="189" t="str">
        <f t="shared" si="138"/>
        <v>290</v>
      </c>
      <c r="Q246" s="160" t="e">
        <f t="shared" si="139"/>
        <v>#DIV/0!</v>
      </c>
      <c r="R246" s="160" t="e">
        <f t="shared" si="147"/>
        <v>#DIV/0!</v>
      </c>
      <c r="S246" s="160" t="e">
        <f t="shared" si="148"/>
        <v>#DIV/0!</v>
      </c>
      <c r="T246" s="160" t="e">
        <f t="shared" si="140"/>
        <v>#DIV/0!</v>
      </c>
      <c r="U246" s="160" t="e">
        <f t="shared" si="149"/>
        <v>#DIV/0!</v>
      </c>
      <c r="V246" s="160" t="e">
        <f t="shared" si="150"/>
        <v>#DIV/0!</v>
      </c>
      <c r="W246" s="98" t="str">
        <f t="shared" si="141"/>
        <v>1-0.0954047659550385i</v>
      </c>
      <c r="X246" s="160">
        <f t="shared" si="151"/>
        <v>1.0045407255890304</v>
      </c>
      <c r="Y246" s="160">
        <f t="shared" si="152"/>
        <v>-9.5116876296207561E-2</v>
      </c>
      <c r="Z246" s="98" t="str">
        <f t="shared" si="142"/>
        <v>0.999924983872981+0.0113290800749079i</v>
      </c>
      <c r="AA246" s="160">
        <f t="shared" si="153"/>
        <v>0.99998916065561672</v>
      </c>
      <c r="AB246" s="160">
        <f t="shared" si="154"/>
        <v>1.1329445242151742E-2</v>
      </c>
      <c r="AC246" s="171" t="e">
        <f t="shared" si="155"/>
        <v>#DIV/0!</v>
      </c>
      <c r="AD246" s="190" t="e">
        <f t="shared" si="156"/>
        <v>#DIV/0!</v>
      </c>
      <c r="AE246" s="169" t="e">
        <f t="shared" si="157"/>
        <v>#DIV/0!</v>
      </c>
      <c r="AF246" s="98" t="str">
        <f t="shared" si="143"/>
        <v>-0.0000182926829268293</v>
      </c>
      <c r="AG246" s="98" t="str">
        <f t="shared" si="144"/>
        <v>0.000266025901116354i</v>
      </c>
      <c r="AH246" s="98">
        <f t="shared" si="158"/>
        <v>2.6602590111635398E-4</v>
      </c>
      <c r="AI246" s="98">
        <f t="shared" si="159"/>
        <v>1.5707963267948966</v>
      </c>
      <c r="AJ246" s="98" t="str">
        <f t="shared" si="145"/>
        <v>1+0.0260784139904278i</v>
      </c>
      <c r="AK246" s="98">
        <f t="shared" si="160"/>
        <v>1.0003399840435532</v>
      </c>
      <c r="AL246" s="98">
        <f t="shared" si="161"/>
        <v>2.6072504567029368E-2</v>
      </c>
      <c r="AM246" s="98" t="str">
        <f t="shared" si="146"/>
        <v>1+2.63391981303321i</v>
      </c>
      <c r="AN246" s="98">
        <f t="shared" si="162"/>
        <v>2.817362877140412</v>
      </c>
      <c r="AO246" s="98">
        <f t="shared" si="163"/>
        <v>1.2079444570588032</v>
      </c>
      <c r="AP246" s="168" t="str">
        <f t="shared" si="164"/>
        <v>-0.17920057667527+0.073436055900405i</v>
      </c>
      <c r="AQ246" s="98">
        <f t="shared" si="165"/>
        <v>-14.259027130991008</v>
      </c>
      <c r="AR246" s="169">
        <f t="shared" si="166"/>
        <v>157.7162748026648</v>
      </c>
      <c r="AS246" s="168" t="e">
        <f t="shared" si="167"/>
        <v>#DIV/0!</v>
      </c>
      <c r="AT246" s="190" t="e">
        <f t="shared" si="168"/>
        <v>#DIV/0!</v>
      </c>
      <c r="AU246" s="169" t="e">
        <f t="shared" si="169"/>
        <v>#DIV/0!</v>
      </c>
      <c r="AV246" s="225"/>
      <c r="AX246" t="e">
        <f t="shared" si="170"/>
        <v>#DIV/0!</v>
      </c>
      <c r="AY246" t="e">
        <f t="shared" si="171"/>
        <v>#DIV/0!</v>
      </c>
    </row>
    <row r="247" spans="14:51" x14ac:dyDescent="0.25">
      <c r="N247" s="170">
        <v>29</v>
      </c>
      <c r="O247" s="199">
        <f t="shared" si="172"/>
        <v>1949.8445997580463</v>
      </c>
      <c r="P247" s="189" t="str">
        <f t="shared" si="138"/>
        <v>290</v>
      </c>
      <c r="Q247" s="160" t="e">
        <f t="shared" si="139"/>
        <v>#DIV/0!</v>
      </c>
      <c r="R247" s="160" t="e">
        <f t="shared" si="147"/>
        <v>#DIV/0!</v>
      </c>
      <c r="S247" s="160" t="e">
        <f t="shared" si="148"/>
        <v>#DIV/0!</v>
      </c>
      <c r="T247" s="160" t="e">
        <f t="shared" si="140"/>
        <v>#DIV/0!</v>
      </c>
      <c r="U247" s="160" t="e">
        <f t="shared" si="149"/>
        <v>#DIV/0!</v>
      </c>
      <c r="V247" s="160" t="e">
        <f t="shared" si="150"/>
        <v>#DIV/0!</v>
      </c>
      <c r="W247" s="98" t="str">
        <f t="shared" si="141"/>
        <v>1-0.0976270284319758i</v>
      </c>
      <c r="X247" s="160">
        <f t="shared" si="151"/>
        <v>1.0047542170503481</v>
      </c>
      <c r="Y247" s="160">
        <f t="shared" si="152"/>
        <v>-9.7318627883395917E-2</v>
      </c>
      <c r="Z247" s="98" t="str">
        <f t="shared" si="142"/>
        <v>0.999921448471835+0.0115929682496407i</v>
      </c>
      <c r="AA247" s="160">
        <f t="shared" si="153"/>
        <v>0.99998864994901293</v>
      </c>
      <c r="AB247" s="160">
        <f t="shared" si="154"/>
        <v>1.1593359532988035E-2</v>
      </c>
      <c r="AC247" s="171" t="e">
        <f t="shared" si="155"/>
        <v>#DIV/0!</v>
      </c>
      <c r="AD247" s="190" t="e">
        <f t="shared" si="156"/>
        <v>#DIV/0!</v>
      </c>
      <c r="AE247" s="169" t="e">
        <f t="shared" si="157"/>
        <v>#DIV/0!</v>
      </c>
      <c r="AF247" s="98" t="str">
        <f t="shared" si="143"/>
        <v>-0.0000182926829268293</v>
      </c>
      <c r="AG247" s="98" t="str">
        <f t="shared" si="144"/>
        <v>0.000272222440377537i</v>
      </c>
      <c r="AH247" s="98">
        <f t="shared" si="158"/>
        <v>2.7222244037753698E-4</v>
      </c>
      <c r="AI247" s="98">
        <f t="shared" si="159"/>
        <v>1.5707963267948966</v>
      </c>
      <c r="AJ247" s="98" t="str">
        <f t="shared" si="145"/>
        <v>1+0.026685858286201i</v>
      </c>
      <c r="AK247" s="98">
        <f t="shared" si="160"/>
        <v>1.0003560041467594</v>
      </c>
      <c r="AL247" s="98">
        <f t="shared" si="161"/>
        <v>2.6679526346646085E-2</v>
      </c>
      <c r="AM247" s="98" t="str">
        <f t="shared" si="146"/>
        <v>1+2.6952716869063i</v>
      </c>
      <c r="AN247" s="98">
        <f t="shared" si="162"/>
        <v>2.8748025090845339</v>
      </c>
      <c r="AO247" s="98">
        <f t="shared" si="163"/>
        <v>1.2155194316810318</v>
      </c>
      <c r="AP247" s="168" t="str">
        <f t="shared" si="164"/>
        <v>-0.179194837141075+0.0719795249299435i</v>
      </c>
      <c r="AQ247" s="98">
        <f t="shared" si="165"/>
        <v>-14.283861683647975</v>
      </c>
      <c r="AR247" s="169">
        <f t="shared" si="166"/>
        <v>158.11550909239261</v>
      </c>
      <c r="AS247" s="168" t="e">
        <f t="shared" si="167"/>
        <v>#DIV/0!</v>
      </c>
      <c r="AT247" s="190" t="e">
        <f t="shared" si="168"/>
        <v>#DIV/0!</v>
      </c>
      <c r="AU247" s="169" t="e">
        <f t="shared" si="169"/>
        <v>#DIV/0!</v>
      </c>
      <c r="AV247" s="225"/>
      <c r="AX247" t="e">
        <f t="shared" si="170"/>
        <v>#DIV/0!</v>
      </c>
      <c r="AY247" t="e">
        <f t="shared" si="171"/>
        <v>#DIV/0!</v>
      </c>
    </row>
    <row r="248" spans="14:51" x14ac:dyDescent="0.25">
      <c r="N248" s="170">
        <v>30</v>
      </c>
      <c r="O248" s="199">
        <f t="shared" si="172"/>
        <v>1995.2623149688804</v>
      </c>
      <c r="P248" s="189" t="str">
        <f t="shared" si="138"/>
        <v>290</v>
      </c>
      <c r="Q248" s="160" t="e">
        <f t="shared" si="139"/>
        <v>#DIV/0!</v>
      </c>
      <c r="R248" s="160" t="e">
        <f t="shared" si="147"/>
        <v>#DIV/0!</v>
      </c>
      <c r="S248" s="160" t="e">
        <f t="shared" si="148"/>
        <v>#DIV/0!</v>
      </c>
      <c r="T248" s="160" t="e">
        <f t="shared" si="140"/>
        <v>#DIV/0!</v>
      </c>
      <c r="U248" s="160" t="e">
        <f t="shared" si="149"/>
        <v>#DIV/0!</v>
      </c>
      <c r="V248" s="160" t="e">
        <f t="shared" si="150"/>
        <v>#DIV/0!</v>
      </c>
      <c r="W248" s="98" t="str">
        <f t="shared" si="141"/>
        <v>1-0.0999010540516349i</v>
      </c>
      <c r="X248" s="160">
        <f t="shared" si="151"/>
        <v>1.0049777214449223</v>
      </c>
      <c r="Y248" s="160">
        <f t="shared" si="152"/>
        <v>-9.957068524621672E-2</v>
      </c>
      <c r="Z248" s="98" t="str">
        <f t="shared" si="142"/>
        <v>0.999917746452365+0.0118630031695906i</v>
      </c>
      <c r="AA248" s="160">
        <f t="shared" si="153"/>
        <v>0.99998811518666442</v>
      </c>
      <c r="AB248" s="160">
        <f t="shared" si="154"/>
        <v>1.1863422436797706E-2</v>
      </c>
      <c r="AC248" s="171" t="e">
        <f t="shared" si="155"/>
        <v>#DIV/0!</v>
      </c>
      <c r="AD248" s="190" t="e">
        <f t="shared" si="156"/>
        <v>#DIV/0!</v>
      </c>
      <c r="AE248" s="169" t="e">
        <f t="shared" si="157"/>
        <v>#DIV/0!</v>
      </c>
      <c r="AF248" s="98" t="str">
        <f t="shared" si="143"/>
        <v>-0.0000182926829268293</v>
      </c>
      <c r="AG248" s="98" t="str">
        <f t="shared" si="144"/>
        <v>0.000278563315579899i</v>
      </c>
      <c r="AH248" s="98">
        <f t="shared" si="158"/>
        <v>2.7856331557989897E-4</v>
      </c>
      <c r="AI248" s="98">
        <f t="shared" si="159"/>
        <v>1.5707963267948966</v>
      </c>
      <c r="AJ248" s="98" t="str">
        <f t="shared" si="145"/>
        <v>1+0.0273074517772669i</v>
      </c>
      <c r="AK248" s="98">
        <f t="shared" si="160"/>
        <v>1.0003727789792001</v>
      </c>
      <c r="AL248" s="98">
        <f t="shared" si="161"/>
        <v>2.7300667118336713E-2</v>
      </c>
      <c r="AM248" s="98" t="str">
        <f t="shared" si="146"/>
        <v>1+2.75805262950395i</v>
      </c>
      <c r="AN248" s="98">
        <f t="shared" si="162"/>
        <v>2.9337440766218266</v>
      </c>
      <c r="AO248" s="98">
        <f t="shared" si="163"/>
        <v>1.2229633500477815</v>
      </c>
      <c r="AP248" s="168" t="str">
        <f t="shared" si="164"/>
        <v>-0.179188827505013+0.0705611440264635i</v>
      </c>
      <c r="AQ248" s="98">
        <f t="shared" si="165"/>
        <v>-14.307723124630215</v>
      </c>
      <c r="AR248" s="169">
        <f t="shared" si="166"/>
        <v>158.50642545314594</v>
      </c>
      <c r="AS248" s="168" t="e">
        <f t="shared" si="167"/>
        <v>#DIV/0!</v>
      </c>
      <c r="AT248" s="190" t="e">
        <f t="shared" si="168"/>
        <v>#DIV/0!</v>
      </c>
      <c r="AU248" s="169" t="e">
        <f t="shared" si="169"/>
        <v>#DIV/0!</v>
      </c>
      <c r="AV248" s="225"/>
      <c r="AX248" t="e">
        <f t="shared" si="170"/>
        <v>#DIV/0!</v>
      </c>
      <c r="AY248" t="e">
        <f t="shared" si="171"/>
        <v>#DIV/0!</v>
      </c>
    </row>
    <row r="249" spans="14:51" x14ac:dyDescent="0.25">
      <c r="N249" s="170">
        <v>31</v>
      </c>
      <c r="O249" s="199">
        <f t="shared" si="172"/>
        <v>2041.7379446695318</v>
      </c>
      <c r="P249" s="189" t="str">
        <f t="shared" si="138"/>
        <v>290</v>
      </c>
      <c r="Q249" s="160" t="e">
        <f t="shared" si="139"/>
        <v>#DIV/0!</v>
      </c>
      <c r="R249" s="160" t="e">
        <f t="shared" si="147"/>
        <v>#DIV/0!</v>
      </c>
      <c r="S249" s="160" t="e">
        <f t="shared" si="148"/>
        <v>#DIV/0!</v>
      </c>
      <c r="T249" s="160" t="e">
        <f t="shared" si="140"/>
        <v>#DIV/0!</v>
      </c>
      <c r="U249" s="160" t="e">
        <f t="shared" si="149"/>
        <v>#DIV/0!</v>
      </c>
      <c r="V249" s="160" t="e">
        <f t="shared" si="150"/>
        <v>#DIV/0!</v>
      </c>
      <c r="W249" s="98" t="str">
        <f t="shared" si="141"/>
        <v>1-0.102228048532499i</v>
      </c>
      <c r="X249" s="160">
        <f t="shared" si="151"/>
        <v>1.0052117060135954</v>
      </c>
      <c r="Y249" s="160">
        <f t="shared" si="152"/>
        <v>-0.10187415102991845</v>
      </c>
      <c r="Z249" s="98" t="str">
        <f t="shared" si="142"/>
        <v>0.999913869962093+0.0121393280108464i</v>
      </c>
      <c r="AA249" s="160">
        <f t="shared" si="153"/>
        <v>0.99998755523612615</v>
      </c>
      <c r="AB249" s="160">
        <f t="shared" si="154"/>
        <v>1.2139777263244151E-2</v>
      </c>
      <c r="AC249" s="171" t="e">
        <f t="shared" si="155"/>
        <v>#DIV/0!</v>
      </c>
      <c r="AD249" s="190" t="e">
        <f t="shared" si="156"/>
        <v>#DIV/0!</v>
      </c>
      <c r="AE249" s="169" t="e">
        <f t="shared" si="157"/>
        <v>#DIV/0!</v>
      </c>
      <c r="AF249" s="98" t="str">
        <f t="shared" si="143"/>
        <v>-0.0000182926829268293</v>
      </c>
      <c r="AG249" s="98" t="str">
        <f t="shared" si="144"/>
        <v>0.000285051888739403i</v>
      </c>
      <c r="AH249" s="98">
        <f t="shared" si="158"/>
        <v>2.8505188873940301E-4</v>
      </c>
      <c r="AI249" s="98">
        <f t="shared" si="159"/>
        <v>1.5707963267948966</v>
      </c>
      <c r="AJ249" s="98" t="str">
        <f t="shared" si="145"/>
        <v>1+0.0279435240407217i</v>
      </c>
      <c r="AK249" s="98">
        <f t="shared" si="160"/>
        <v>1.0003903440836552</v>
      </c>
      <c r="AL249" s="98">
        <f t="shared" si="161"/>
        <v>2.7936254300894241E-2</v>
      </c>
      <c r="AM249" s="98" t="str">
        <f t="shared" si="146"/>
        <v>1+2.82229592811289i</v>
      </c>
      <c r="AN249" s="98">
        <f t="shared" si="162"/>
        <v>2.9942201498624978</v>
      </c>
      <c r="AO249" s="98">
        <f t="shared" si="163"/>
        <v>1.2302768581876391</v>
      </c>
      <c r="AP249" s="168" t="str">
        <f t="shared" si="164"/>
        <v>-0.179182535075544+0.0691801601151755i</v>
      </c>
      <c r="AQ249" s="98">
        <f t="shared" si="165"/>
        <v>-14.330645576745392</v>
      </c>
      <c r="AR249" s="169">
        <f t="shared" si="166"/>
        <v>158.88904213992114</v>
      </c>
      <c r="AS249" s="168" t="e">
        <f t="shared" si="167"/>
        <v>#DIV/0!</v>
      </c>
      <c r="AT249" s="190" t="e">
        <f t="shared" si="168"/>
        <v>#DIV/0!</v>
      </c>
      <c r="AU249" s="169" t="e">
        <f t="shared" si="169"/>
        <v>#DIV/0!</v>
      </c>
      <c r="AV249" s="225"/>
      <c r="AX249" t="e">
        <f t="shared" si="170"/>
        <v>#DIV/0!</v>
      </c>
      <c r="AY249" t="e">
        <f t="shared" si="171"/>
        <v>#DIV/0!</v>
      </c>
    </row>
    <row r="250" spans="14:51" x14ac:dyDescent="0.25">
      <c r="N250" s="170">
        <v>32</v>
      </c>
      <c r="O250" s="199">
        <f t="shared" si="172"/>
        <v>2089.2961308540398</v>
      </c>
      <c r="P250" s="189" t="str">
        <f t="shared" si="138"/>
        <v>290</v>
      </c>
      <c r="Q250" s="160" t="e">
        <f t="shared" si="139"/>
        <v>#DIV/0!</v>
      </c>
      <c r="R250" s="160" t="e">
        <f t="shared" si="147"/>
        <v>#DIV/0!</v>
      </c>
      <c r="S250" s="160" t="e">
        <f t="shared" si="148"/>
        <v>#DIV/0!</v>
      </c>
      <c r="T250" s="160" t="e">
        <f t="shared" si="140"/>
        <v>#DIV/0!</v>
      </c>
      <c r="U250" s="160" t="e">
        <f t="shared" si="149"/>
        <v>#DIV/0!</v>
      </c>
      <c r="V250" s="160" t="e">
        <f t="shared" si="150"/>
        <v>#DIV/0!</v>
      </c>
      <c r="W250" s="98" t="str">
        <f t="shared" si="141"/>
        <v>1-0.104609245677843i</v>
      </c>
      <c r="X250" s="160">
        <f t="shared" si="151"/>
        <v>1.0054566595737915</v>
      </c>
      <c r="Y250" s="160">
        <f t="shared" si="152"/>
        <v>-0.1042301487322934</v>
      </c>
      <c r="Z250" s="98" t="str">
        <f t="shared" si="142"/>
        <v>0.999909810778463+0.0124220892844967i</v>
      </c>
      <c r="AA250" s="160">
        <f t="shared" si="153"/>
        <v>0.99998696891170225</v>
      </c>
      <c r="AB250" s="160">
        <f t="shared" si="154"/>
        <v>1.242257066654302E-2</v>
      </c>
      <c r="AC250" s="171" t="e">
        <f t="shared" si="155"/>
        <v>#DIV/0!</v>
      </c>
      <c r="AD250" s="190" t="e">
        <f t="shared" si="156"/>
        <v>#DIV/0!</v>
      </c>
      <c r="AE250" s="169" t="e">
        <f t="shared" si="157"/>
        <v>#DIV/0!</v>
      </c>
      <c r="AF250" s="98" t="str">
        <f t="shared" si="143"/>
        <v>-0.0000182926829268293</v>
      </c>
      <c r="AG250" s="98" t="str">
        <f t="shared" si="144"/>
        <v>0.000291691600183424i</v>
      </c>
      <c r="AH250" s="98">
        <f t="shared" si="158"/>
        <v>2.9169160018342402E-4</v>
      </c>
      <c r="AI250" s="98">
        <f t="shared" si="159"/>
        <v>1.5707963267948966</v>
      </c>
      <c r="AJ250" s="98" t="str">
        <f t="shared" si="145"/>
        <v>1+0.0285944123304995i</v>
      </c>
      <c r="AK250" s="98">
        <f t="shared" si="160"/>
        <v>1.0004087366754284</v>
      </c>
      <c r="AL250" s="98">
        <f t="shared" si="161"/>
        <v>2.8586622835809886E-2</v>
      </c>
      <c r="AM250" s="98" t="str">
        <f t="shared" si="146"/>
        <v>1+2.88803564538044i</v>
      </c>
      <c r="AN250" s="98">
        <f t="shared" si="162"/>
        <v>3.0562640411109796</v>
      </c>
      <c r="AO250" s="98">
        <f t="shared" si="163"/>
        <v>1.2374607034146594</v>
      </c>
      <c r="AP250" s="168" t="str">
        <f t="shared" si="164"/>
        <v>-0.17917594656666+0.067835839876163i</v>
      </c>
      <c r="AQ250" s="98">
        <f t="shared" si="165"/>
        <v>-14.352662407890097</v>
      </c>
      <c r="AR250" s="169">
        <f t="shared" si="166"/>
        <v>159.26338277992588</v>
      </c>
      <c r="AS250" s="168" t="e">
        <f t="shared" si="167"/>
        <v>#DIV/0!</v>
      </c>
      <c r="AT250" s="190" t="e">
        <f t="shared" si="168"/>
        <v>#DIV/0!</v>
      </c>
      <c r="AU250" s="169" t="e">
        <f t="shared" si="169"/>
        <v>#DIV/0!</v>
      </c>
      <c r="AV250" s="225"/>
      <c r="AX250" t="e">
        <f t="shared" si="170"/>
        <v>#DIV/0!</v>
      </c>
      <c r="AY250" t="e">
        <f t="shared" si="171"/>
        <v>#DIV/0!</v>
      </c>
    </row>
    <row r="251" spans="14:51" x14ac:dyDescent="0.25">
      <c r="N251" s="170">
        <v>33</v>
      </c>
      <c r="O251" s="199">
        <f t="shared" si="172"/>
        <v>2137.9620895022344</v>
      </c>
      <c r="P251" s="189" t="str">
        <f t="shared" si="138"/>
        <v>290</v>
      </c>
      <c r="Q251" s="160" t="e">
        <f t="shared" si="139"/>
        <v>#DIV/0!</v>
      </c>
      <c r="R251" s="160" t="e">
        <f t="shared" si="147"/>
        <v>#DIV/0!</v>
      </c>
      <c r="S251" s="160" t="e">
        <f t="shared" si="148"/>
        <v>#DIV/0!</v>
      </c>
      <c r="T251" s="160" t="e">
        <f t="shared" si="140"/>
        <v>#DIV/0!</v>
      </c>
      <c r="U251" s="160" t="e">
        <f t="shared" si="149"/>
        <v>#DIV/0!</v>
      </c>
      <c r="V251" s="160" t="e">
        <f t="shared" si="150"/>
        <v>#DIV/0!</v>
      </c>
      <c r="W251" s="98" t="str">
        <f t="shared" si="141"/>
        <v>1-0.107045908029912i</v>
      </c>
      <c r="X251" s="160">
        <f t="shared" si="151"/>
        <v>1.0057130934943366</v>
      </c>
      <c r="Y251" s="160">
        <f t="shared" si="152"/>
        <v>-0.10663982285734419</v>
      </c>
      <c r="Z251" s="98" t="str">
        <f t="shared" si="142"/>
        <v>0.999905560291402+0.0127114369143113i</v>
      </c>
      <c r="AA251" s="160">
        <f t="shared" si="153"/>
        <v>0.99998635497195121</v>
      </c>
      <c r="AB251" s="160">
        <f t="shared" si="154"/>
        <v>1.2711952723826678E-2</v>
      </c>
      <c r="AC251" s="171" t="e">
        <f t="shared" si="155"/>
        <v>#DIV/0!</v>
      </c>
      <c r="AD251" s="190" t="e">
        <f t="shared" si="156"/>
        <v>#DIV/0!</v>
      </c>
      <c r="AE251" s="169" t="e">
        <f t="shared" si="157"/>
        <v>#DIV/0!</v>
      </c>
      <c r="AF251" s="98" t="str">
        <f t="shared" si="143"/>
        <v>-0.0000182926829268293</v>
      </c>
      <c r="AG251" s="98" t="str">
        <f t="shared" si="144"/>
        <v>0.000298485970374858i</v>
      </c>
      <c r="AH251" s="98">
        <f t="shared" si="158"/>
        <v>2.9848597037485802E-4</v>
      </c>
      <c r="AI251" s="98">
        <f t="shared" si="159"/>
        <v>1.5707963267948966</v>
      </c>
      <c r="AJ251" s="98" t="str">
        <f t="shared" si="145"/>
        <v>1+0.0292604617561864i</v>
      </c>
      <c r="AK251" s="98">
        <f t="shared" si="160"/>
        <v>1.0004279957209241</v>
      </c>
      <c r="AL251" s="98">
        <f t="shared" si="161"/>
        <v>2.9252115355090109E-2</v>
      </c>
      <c r="AM251" s="98" t="str">
        <f t="shared" si="146"/>
        <v>1+2.95530663737483i</v>
      </c>
      <c r="AN251" s="98">
        <f t="shared" si="162"/>
        <v>3.1199098257660784</v>
      </c>
      <c r="AO251" s="98">
        <f t="shared" si="163"/>
        <v>1.2445157278306107</v>
      </c>
      <c r="AP251" s="168" t="str">
        <f t="shared" si="164"/>
        <v>-0.179169048070203+0.0665274693503306i</v>
      </c>
      <c r="AQ251" s="98">
        <f t="shared" si="165"/>
        <v>-14.373806216926706</v>
      </c>
      <c r="AR251" s="169">
        <f t="shared" si="166"/>
        <v>159.62947599066936</v>
      </c>
      <c r="AS251" s="168" t="e">
        <f t="shared" si="167"/>
        <v>#DIV/0!</v>
      </c>
      <c r="AT251" s="190" t="e">
        <f t="shared" si="168"/>
        <v>#DIV/0!</v>
      </c>
      <c r="AU251" s="169" t="e">
        <f t="shared" si="169"/>
        <v>#DIV/0!</v>
      </c>
      <c r="AV251" s="225"/>
      <c r="AX251" t="e">
        <f t="shared" si="170"/>
        <v>#DIV/0!</v>
      </c>
      <c r="AY251" t="e">
        <f t="shared" si="171"/>
        <v>#DIV/0!</v>
      </c>
    </row>
    <row r="252" spans="14:51" x14ac:dyDescent="0.25">
      <c r="N252" s="170">
        <v>34</v>
      </c>
      <c r="O252" s="199">
        <f t="shared" si="172"/>
        <v>2187.7616239495528</v>
      </c>
      <c r="P252" s="189" t="str">
        <f t="shared" si="138"/>
        <v>290</v>
      </c>
      <c r="Q252" s="160" t="e">
        <f t="shared" si="139"/>
        <v>#DIV/0!</v>
      </c>
      <c r="R252" s="160" t="e">
        <f t="shared" si="147"/>
        <v>#DIV/0!</v>
      </c>
      <c r="S252" s="160" t="e">
        <f t="shared" si="148"/>
        <v>#DIV/0!</v>
      </c>
      <c r="T252" s="160" t="e">
        <f t="shared" si="140"/>
        <v>#DIV/0!</v>
      </c>
      <c r="U252" s="160" t="e">
        <f t="shared" si="149"/>
        <v>#DIV/0!</v>
      </c>
      <c r="V252" s="160" t="e">
        <f t="shared" si="150"/>
        <v>#DIV/0!</v>
      </c>
      <c r="W252" s="98" t="str">
        <f t="shared" si="141"/>
        <v>1-0.10953932753934i</v>
      </c>
      <c r="X252" s="160">
        <f t="shared" si="151"/>
        <v>1.005981542712276</v>
      </c>
      <c r="Y252" s="160">
        <f t="shared" si="152"/>
        <v>-0.10910433905038651</v>
      </c>
      <c r="Z252" s="98" t="str">
        <f t="shared" si="142"/>
        <v>0.999901109485057+0.0130075243162336i</v>
      </c>
      <c r="AA252" s="160">
        <f t="shared" si="153"/>
        <v>0.99998571211707088</v>
      </c>
      <c r="AB252" s="160">
        <f t="shared" si="154"/>
        <v>1.300807701536855E-2</v>
      </c>
      <c r="AC252" s="171" t="e">
        <f t="shared" si="155"/>
        <v>#DIV/0!</v>
      </c>
      <c r="AD252" s="190" t="e">
        <f t="shared" si="156"/>
        <v>#DIV/0!</v>
      </c>
      <c r="AE252" s="169" t="e">
        <f t="shared" si="157"/>
        <v>#DIV/0!</v>
      </c>
      <c r="AF252" s="98" t="str">
        <f t="shared" si="143"/>
        <v>-0.0000182926829268293</v>
      </c>
      <c r="AG252" s="98" t="str">
        <f t="shared" si="144"/>
        <v>0.000305438601778712i</v>
      </c>
      <c r="AH252" s="98">
        <f t="shared" si="158"/>
        <v>3.0543860177871198E-4</v>
      </c>
      <c r="AI252" s="98">
        <f t="shared" si="159"/>
        <v>1.5707963267948966</v>
      </c>
      <c r="AJ252" s="98" t="str">
        <f t="shared" si="145"/>
        <v>1+0.0299420254660046i</v>
      </c>
      <c r="AK252" s="98">
        <f t="shared" si="160"/>
        <v>1.0004481620199055</v>
      </c>
      <c r="AL252" s="98">
        <f t="shared" si="161"/>
        <v>2.9933082352460404E-2</v>
      </c>
      <c r="AM252" s="98" t="str">
        <f t="shared" si="146"/>
        <v>1+3.02414457206646i</v>
      </c>
      <c r="AN252" s="98">
        <f t="shared" si="162"/>
        <v>3.1851923635408639</v>
      </c>
      <c r="AO252" s="98">
        <f t="shared" si="163"/>
        <v>1.2514428619698044</v>
      </c>
      <c r="AP252" s="168" t="str">
        <f t="shared" si="164"/>
        <v>-0.179161825026946+0.0652543535552504i</v>
      </c>
      <c r="AQ252" s="98">
        <f t="shared" si="165"/>
        <v>-14.394108822851601</v>
      </c>
      <c r="AR252" s="169">
        <f t="shared" si="166"/>
        <v>159.98735500602916</v>
      </c>
      <c r="AS252" s="168" t="e">
        <f t="shared" si="167"/>
        <v>#DIV/0!</v>
      </c>
      <c r="AT252" s="190" t="e">
        <f t="shared" si="168"/>
        <v>#DIV/0!</v>
      </c>
      <c r="AU252" s="169" t="e">
        <f t="shared" si="169"/>
        <v>#DIV/0!</v>
      </c>
      <c r="AV252" s="225"/>
      <c r="AX252" t="e">
        <f t="shared" si="170"/>
        <v>#DIV/0!</v>
      </c>
      <c r="AY252" t="e">
        <f t="shared" si="171"/>
        <v>#DIV/0!</v>
      </c>
    </row>
    <row r="253" spans="14:51" x14ac:dyDescent="0.25">
      <c r="N253" s="170">
        <v>35</v>
      </c>
      <c r="O253" s="199">
        <f t="shared" si="172"/>
        <v>2238.7211385683418</v>
      </c>
      <c r="P253" s="189" t="str">
        <f t="shared" si="138"/>
        <v>290</v>
      </c>
      <c r="Q253" s="160" t="e">
        <f t="shared" si="139"/>
        <v>#DIV/0!</v>
      </c>
      <c r="R253" s="160" t="e">
        <f t="shared" si="147"/>
        <v>#DIV/0!</v>
      </c>
      <c r="S253" s="160" t="e">
        <f t="shared" si="148"/>
        <v>#DIV/0!</v>
      </c>
      <c r="T253" s="160" t="e">
        <f t="shared" si="140"/>
        <v>#DIV/0!</v>
      </c>
      <c r="U253" s="160" t="e">
        <f t="shared" si="149"/>
        <v>#DIV/0!</v>
      </c>
      <c r="V253" s="160" t="e">
        <f t="shared" si="150"/>
        <v>#DIV/0!</v>
      </c>
      <c r="W253" s="98" t="str">
        <f t="shared" si="141"/>
        <v>1-0.112090826250153i</v>
      </c>
      <c r="X253" s="160">
        <f t="shared" si="151"/>
        <v>1.0062625667933007</v>
      </c>
      <c r="Y253" s="160">
        <f t="shared" si="152"/>
        <v>-0.11162488421274978</v>
      </c>
      <c r="Z253" s="98" t="str">
        <f t="shared" si="142"/>
        <v>0.999896448918672+0.0133105084797234i</v>
      </c>
      <c r="AA253" s="160">
        <f t="shared" si="153"/>
        <v>0.99998503898616364</v>
      </c>
      <c r="AB253" s="160">
        <f t="shared" si="154"/>
        <v>1.3311100706710181E-2</v>
      </c>
      <c r="AC253" s="171" t="e">
        <f t="shared" si="155"/>
        <v>#DIV/0!</v>
      </c>
      <c r="AD253" s="190" t="e">
        <f t="shared" si="156"/>
        <v>#DIV/0!</v>
      </c>
      <c r="AE253" s="169" t="e">
        <f t="shared" si="157"/>
        <v>#DIV/0!</v>
      </c>
      <c r="AF253" s="98" t="str">
        <f t="shared" si="143"/>
        <v>-0.0000182926829268293</v>
      </c>
      <c r="AG253" s="98" t="str">
        <f t="shared" si="144"/>
        <v>0.000312553180772189i</v>
      </c>
      <c r="AH253" s="98">
        <f t="shared" si="158"/>
        <v>3.1255318077218902E-4</v>
      </c>
      <c r="AI253" s="98">
        <f t="shared" si="159"/>
        <v>1.5707963267948966</v>
      </c>
      <c r="AJ253" s="98" t="str">
        <f t="shared" si="145"/>
        <v>1+0.0306394648340545i</v>
      </c>
      <c r="AK253" s="98">
        <f t="shared" si="160"/>
        <v>1.0004692782916011</v>
      </c>
      <c r="AL253" s="98">
        <f t="shared" si="161"/>
        <v>3.0629882357988268E-2</v>
      </c>
      <c r="AM253" s="98" t="str">
        <f t="shared" si="146"/>
        <v>1+3.0945859482395i</v>
      </c>
      <c r="AN253" s="98">
        <f t="shared" si="162"/>
        <v>3.2521473200089459</v>
      </c>
      <c r="AO253" s="98">
        <f t="shared" si="163"/>
        <v>1.2582431186025378</v>
      </c>
      <c r="AP253" s="168" t="str">
        <f t="shared" si="164"/>
        <v>-0.179154262196319+0.0640158161106662i</v>
      </c>
      <c r="AQ253" s="98">
        <f t="shared" si="165"/>
        <v>-14.41360125705212</v>
      </c>
      <c r="AR253" s="169">
        <f t="shared" si="166"/>
        <v>160.33705731120918</v>
      </c>
      <c r="AS253" s="168" t="e">
        <f t="shared" si="167"/>
        <v>#DIV/0!</v>
      </c>
      <c r="AT253" s="190" t="e">
        <f t="shared" si="168"/>
        <v>#DIV/0!</v>
      </c>
      <c r="AU253" s="169" t="e">
        <f t="shared" si="169"/>
        <v>#DIV/0!</v>
      </c>
      <c r="AV253" s="225"/>
      <c r="AX253" t="e">
        <f t="shared" si="170"/>
        <v>#DIV/0!</v>
      </c>
      <c r="AY253" t="e">
        <f t="shared" si="171"/>
        <v>#DIV/0!</v>
      </c>
    </row>
    <row r="254" spans="14:51" x14ac:dyDescent="0.25">
      <c r="N254" s="170">
        <v>36</v>
      </c>
      <c r="O254" s="199">
        <f t="shared" si="172"/>
        <v>2290.8676527677749</v>
      </c>
      <c r="P254" s="189" t="str">
        <f t="shared" si="138"/>
        <v>290</v>
      </c>
      <c r="Q254" s="160" t="e">
        <f t="shared" si="139"/>
        <v>#DIV/0!</v>
      </c>
      <c r="R254" s="160" t="e">
        <f t="shared" si="147"/>
        <v>#DIV/0!</v>
      </c>
      <c r="S254" s="160" t="e">
        <f t="shared" si="148"/>
        <v>#DIV/0!</v>
      </c>
      <c r="T254" s="160" t="e">
        <f t="shared" si="140"/>
        <v>#DIV/0!</v>
      </c>
      <c r="U254" s="160" t="e">
        <f t="shared" si="149"/>
        <v>#DIV/0!</v>
      </c>
      <c r="V254" s="160" t="e">
        <f t="shared" si="150"/>
        <v>#DIV/0!</v>
      </c>
      <c r="W254" s="98" t="str">
        <f t="shared" si="141"/>
        <v>1-0.114701757000741i</v>
      </c>
      <c r="X254" s="160">
        <f t="shared" si="151"/>
        <v>1.0065567510374451</v>
      </c>
      <c r="Y254" s="160">
        <f t="shared" si="152"/>
        <v>-0.11420266659414811</v>
      </c>
      <c r="Z254" s="98" t="str">
        <f t="shared" si="142"/>
        <v>0.99989156870656+0.0136205500509945i</v>
      </c>
      <c r="AA254" s="160">
        <f t="shared" si="153"/>
        <v>0.99998433415436927</v>
      </c>
      <c r="AB254" s="160">
        <f t="shared" si="154"/>
        <v>1.3621184632739217E-2</v>
      </c>
      <c r="AC254" s="171" t="e">
        <f t="shared" si="155"/>
        <v>#DIV/0!</v>
      </c>
      <c r="AD254" s="190" t="e">
        <f t="shared" si="156"/>
        <v>#DIV/0!</v>
      </c>
      <c r="AE254" s="169" t="e">
        <f t="shared" si="157"/>
        <v>#DIV/0!</v>
      </c>
      <c r="AF254" s="98" t="str">
        <f t="shared" si="143"/>
        <v>-0.0000182926829268293</v>
      </c>
      <c r="AG254" s="98" t="str">
        <f t="shared" si="144"/>
        <v>0.00031983347959924i</v>
      </c>
      <c r="AH254" s="98">
        <f t="shared" si="158"/>
        <v>3.1983347959923999E-4</v>
      </c>
      <c r="AI254" s="98">
        <f t="shared" si="159"/>
        <v>1.5707963267948966</v>
      </c>
      <c r="AJ254" s="98" t="str">
        <f t="shared" si="145"/>
        <v>1+0.0313531496519205i</v>
      </c>
      <c r="AK254" s="98">
        <f t="shared" si="160"/>
        <v>1.000491389264843</v>
      </c>
      <c r="AL254" s="98">
        <f t="shared" si="161"/>
        <v>3.1342882116171457E-2</v>
      </c>
      <c r="AM254" s="98" t="str">
        <f t="shared" si="146"/>
        <v>1+3.16666811484397i</v>
      </c>
      <c r="AN254" s="98">
        <f t="shared" si="162"/>
        <v>3.3208111884853473</v>
      </c>
      <c r="AO254" s="98">
        <f t="shared" si="163"/>
        <v>1.2649175867108537</v>
      </c>
      <c r="AP254" s="168" t="str">
        <f t="shared" si="164"/>
        <v>-0.179146343624769+0.0628111988734421i</v>
      </c>
      <c r="AQ254" s="98">
        <f t="shared" si="165"/>
        <v>-14.43231375844527</v>
      </c>
      <c r="AR254" s="169">
        <f t="shared" si="166"/>
        <v>160.67862428737251</v>
      </c>
      <c r="AS254" s="168" t="e">
        <f t="shared" si="167"/>
        <v>#DIV/0!</v>
      </c>
      <c r="AT254" s="190" t="e">
        <f t="shared" si="168"/>
        <v>#DIV/0!</v>
      </c>
      <c r="AU254" s="169" t="e">
        <f t="shared" si="169"/>
        <v>#DIV/0!</v>
      </c>
      <c r="AV254" s="225"/>
      <c r="AX254" t="e">
        <f t="shared" si="170"/>
        <v>#DIV/0!</v>
      </c>
      <c r="AY254" t="e">
        <f t="shared" si="171"/>
        <v>#DIV/0!</v>
      </c>
    </row>
    <row r="255" spans="14:51" x14ac:dyDescent="0.25">
      <c r="N255" s="170">
        <v>37</v>
      </c>
      <c r="O255" s="199">
        <f t="shared" si="172"/>
        <v>2344.2288153199238</v>
      </c>
      <c r="P255" s="189" t="str">
        <f t="shared" si="138"/>
        <v>290</v>
      </c>
      <c r="Q255" s="160" t="e">
        <f t="shared" si="139"/>
        <v>#DIV/0!</v>
      </c>
      <c r="R255" s="160" t="e">
        <f t="shared" si="147"/>
        <v>#DIV/0!</v>
      </c>
      <c r="S255" s="160" t="e">
        <f t="shared" si="148"/>
        <v>#DIV/0!</v>
      </c>
      <c r="T255" s="160" t="e">
        <f t="shared" si="140"/>
        <v>#DIV/0!</v>
      </c>
      <c r="U255" s="160" t="e">
        <f t="shared" si="149"/>
        <v>#DIV/0!</v>
      </c>
      <c r="V255" s="160" t="e">
        <f t="shared" si="150"/>
        <v>#DIV/0!</v>
      </c>
      <c r="W255" s="98" t="str">
        <f t="shared" si="141"/>
        <v>1-0.117373504141148i</v>
      </c>
      <c r="X255" s="160">
        <f t="shared" si="151"/>
        <v>1.0068647076317514</v>
      </c>
      <c r="Y255" s="160">
        <f t="shared" si="152"/>
        <v>-0.11683891586062409</v>
      </c>
      <c r="Z255" s="98" t="str">
        <f t="shared" si="142"/>
        <v>0.999886458497137+0.013937813418192i</v>
      </c>
      <c r="AA255" s="160">
        <f t="shared" si="153"/>
        <v>0.99998359612986998</v>
      </c>
      <c r="AB255" s="160">
        <f t="shared" si="154"/>
        <v>1.3938493383767106E-2</v>
      </c>
      <c r="AC255" s="171" t="e">
        <f t="shared" si="155"/>
        <v>#DIV/0!</v>
      </c>
      <c r="AD255" s="190" t="e">
        <f t="shared" si="156"/>
        <v>#DIV/0!</v>
      </c>
      <c r="AE255" s="169" t="e">
        <f t="shared" si="157"/>
        <v>#DIV/0!</v>
      </c>
      <c r="AF255" s="98" t="str">
        <f t="shared" si="143"/>
        <v>-0.0000182926829268293</v>
      </c>
      <c r="AG255" s="98" t="str">
        <f t="shared" si="144"/>
        <v>0.000327283358370672i</v>
      </c>
      <c r="AH255" s="98">
        <f t="shared" si="158"/>
        <v>3.27283358370672E-4</v>
      </c>
      <c r="AI255" s="98">
        <f t="shared" si="159"/>
        <v>1.5707963267948966</v>
      </c>
      <c r="AJ255" s="98" t="str">
        <f t="shared" si="145"/>
        <v>1+0.03208345832474i</v>
      </c>
      <c r="AK255" s="98">
        <f t="shared" si="160"/>
        <v>1.0005145417724199</v>
      </c>
      <c r="AL255" s="98">
        <f t="shared" si="161"/>
        <v>3.2072456767527298E-2</v>
      </c>
      <c r="AM255" s="98" t="str">
        <f t="shared" si="146"/>
        <v>1+3.24042929079874i</v>
      </c>
      <c r="AN255" s="98">
        <f t="shared" si="162"/>
        <v>3.3912213122511519</v>
      </c>
      <c r="AO255" s="98">
        <f t="shared" si="163"/>
        <v>1.2714674256480749</v>
      </c>
      <c r="AP255" s="168" t="str">
        <f t="shared" si="164"/>
        <v>-0.179138052612665+0.0616398615817183i</v>
      </c>
      <c r="AQ255" s="98">
        <f t="shared" si="165"/>
        <v>-14.450275771297266</v>
      </c>
      <c r="AR255" s="169">
        <f t="shared" si="166"/>
        <v>161.01210086660336</v>
      </c>
      <c r="AS255" s="168" t="e">
        <f t="shared" si="167"/>
        <v>#DIV/0!</v>
      </c>
      <c r="AT255" s="190" t="e">
        <f t="shared" si="168"/>
        <v>#DIV/0!</v>
      </c>
      <c r="AU255" s="169" t="e">
        <f t="shared" si="169"/>
        <v>#DIV/0!</v>
      </c>
      <c r="AV255" s="225"/>
      <c r="AX255" t="e">
        <f t="shared" si="170"/>
        <v>#DIV/0!</v>
      </c>
      <c r="AY255" t="e">
        <f t="shared" si="171"/>
        <v>#DIV/0!</v>
      </c>
    </row>
    <row r="256" spans="14:51" x14ac:dyDescent="0.25">
      <c r="N256" s="170">
        <v>38</v>
      </c>
      <c r="O256" s="199">
        <f t="shared" si="172"/>
        <v>2398.8329190194918</v>
      </c>
      <c r="P256" s="189" t="str">
        <f t="shared" si="138"/>
        <v>290</v>
      </c>
      <c r="Q256" s="160" t="e">
        <f t="shared" si="139"/>
        <v>#DIV/0!</v>
      </c>
      <c r="R256" s="160" t="e">
        <f t="shared" si="147"/>
        <v>#DIV/0!</v>
      </c>
      <c r="S256" s="160" t="e">
        <f t="shared" si="148"/>
        <v>#DIV/0!</v>
      </c>
      <c r="T256" s="160" t="e">
        <f t="shared" si="140"/>
        <v>#DIV/0!</v>
      </c>
      <c r="U256" s="160" t="e">
        <f t="shared" si="149"/>
        <v>#DIV/0!</v>
      </c>
      <c r="V256" s="160" t="e">
        <f t="shared" si="150"/>
        <v>#DIV/0!</v>
      </c>
      <c r="W256" s="98" t="str">
        <f t="shared" si="141"/>
        <v>1-0.120107484267073i</v>
      </c>
      <c r="X256" s="160">
        <f t="shared" si="151"/>
        <v>1.0071870768516469</v>
      </c>
      <c r="Y256" s="160">
        <f t="shared" si="152"/>
        <v>-0.11953488313586999</v>
      </c>
      <c r="Z256" s="98" t="str">
        <f t="shared" si="142"/>
        <v>0.999881107450963+0.0142624667985525i</v>
      </c>
      <c r="AA256" s="160">
        <f t="shared" si="153"/>
        <v>0.9999828233507535</v>
      </c>
      <c r="AB256" s="160">
        <f t="shared" si="154"/>
        <v>1.4263195393654138E-2</v>
      </c>
      <c r="AC256" s="171" t="e">
        <f t="shared" si="155"/>
        <v>#DIV/0!</v>
      </c>
      <c r="AD256" s="190" t="e">
        <f t="shared" si="156"/>
        <v>#DIV/0!</v>
      </c>
      <c r="AE256" s="169" t="e">
        <f t="shared" si="157"/>
        <v>#DIV/0!</v>
      </c>
      <c r="AF256" s="98" t="str">
        <f t="shared" si="143"/>
        <v>-0.0000182926829268293</v>
      </c>
      <c r="AG256" s="98" t="str">
        <f t="shared" si="144"/>
        <v>0.000334906767110819i</v>
      </c>
      <c r="AH256" s="98">
        <f t="shared" si="158"/>
        <v>3.3490676711081898E-4</v>
      </c>
      <c r="AI256" s="98">
        <f t="shared" si="159"/>
        <v>1.5707963267948966</v>
      </c>
      <c r="AJ256" s="98" t="str">
        <f t="shared" si="145"/>
        <v>1+0.032830778071838i</v>
      </c>
      <c r="AK256" s="98">
        <f t="shared" si="160"/>
        <v>1.0005387848498439</v>
      </c>
      <c r="AL256" s="98">
        <f t="shared" si="161"/>
        <v>3.2818990033717244E-2</v>
      </c>
      <c r="AM256" s="98" t="str">
        <f t="shared" si="146"/>
        <v>1+3.31590858525564i</v>
      </c>
      <c r="AN256" s="98">
        <f t="shared" si="162"/>
        <v>3.4634159071315791</v>
      </c>
      <c r="AO256" s="98">
        <f t="shared" si="163"/>
        <v>1.2778938594914213</v>
      </c>
      <c r="AP256" s="168" t="str">
        <f t="shared" si="164"/>
        <v>-0.17912937167969+0.0605011815080644i</v>
      </c>
      <c r="AQ256" s="98">
        <f t="shared" si="165"/>
        <v>-14.467515945524793</v>
      </c>
      <c r="AR256" s="169">
        <f t="shared" si="166"/>
        <v>161.33753519772841</v>
      </c>
      <c r="AS256" s="168" t="e">
        <f t="shared" si="167"/>
        <v>#DIV/0!</v>
      </c>
      <c r="AT256" s="190" t="e">
        <f t="shared" si="168"/>
        <v>#DIV/0!</v>
      </c>
      <c r="AU256" s="169" t="e">
        <f t="shared" si="169"/>
        <v>#DIV/0!</v>
      </c>
      <c r="AV256" s="225"/>
      <c r="AX256" t="e">
        <f t="shared" si="170"/>
        <v>#DIV/0!</v>
      </c>
      <c r="AY256" t="e">
        <f t="shared" si="171"/>
        <v>#DIV/0!</v>
      </c>
    </row>
    <row r="257" spans="14:51" x14ac:dyDescent="0.25">
      <c r="N257" s="170">
        <v>39</v>
      </c>
      <c r="O257" s="199">
        <f t="shared" si="172"/>
        <v>2454.7089156850338</v>
      </c>
      <c r="P257" s="189" t="str">
        <f t="shared" si="138"/>
        <v>290</v>
      </c>
      <c r="Q257" s="160" t="e">
        <f t="shared" si="139"/>
        <v>#DIV/0!</v>
      </c>
      <c r="R257" s="160" t="e">
        <f t="shared" si="147"/>
        <v>#DIV/0!</v>
      </c>
      <c r="S257" s="160" t="e">
        <f t="shared" si="148"/>
        <v>#DIV/0!</v>
      </c>
      <c r="T257" s="160" t="e">
        <f t="shared" si="140"/>
        <v>#DIV/0!</v>
      </c>
      <c r="U257" s="160" t="e">
        <f t="shared" si="149"/>
        <v>#DIV/0!</v>
      </c>
      <c r="V257" s="160" t="e">
        <f t="shared" si="150"/>
        <v>#DIV/0!</v>
      </c>
      <c r="W257" s="98" t="str">
        <f t="shared" si="141"/>
        <v>1-0.122905146970966i</v>
      </c>
      <c r="X257" s="160">
        <f t="shared" si="151"/>
        <v>1.0075245283128123</v>
      </c>
      <c r="Y257" s="160">
        <f t="shared" si="152"/>
        <v>-0.12229184101357465</v>
      </c>
      <c r="Z257" s="98" t="str">
        <f t="shared" si="142"/>
        <v>0.999875504217753+0.0145946823275956i</v>
      </c>
      <c r="AA257" s="160">
        <f t="shared" si="153"/>
        <v>0.99998201418172983</v>
      </c>
      <c r="AB257" s="160">
        <f t="shared" si="154"/>
        <v>1.4595463030034712E-2</v>
      </c>
      <c r="AC257" s="171" t="e">
        <f t="shared" si="155"/>
        <v>#DIV/0!</v>
      </c>
      <c r="AD257" s="190" t="e">
        <f t="shared" si="156"/>
        <v>#DIV/0!</v>
      </c>
      <c r="AE257" s="169" t="e">
        <f t="shared" si="157"/>
        <v>#DIV/0!</v>
      </c>
      <c r="AF257" s="98" t="str">
        <f t="shared" si="143"/>
        <v>-0.0000182926829268293</v>
      </c>
      <c r="AG257" s="98" t="str">
        <f t="shared" si="144"/>
        <v>0.000342707747851904i</v>
      </c>
      <c r="AH257" s="98">
        <f t="shared" si="158"/>
        <v>3.4270774785190398E-4</v>
      </c>
      <c r="AI257" s="98">
        <f t="shared" si="159"/>
        <v>1.5707963267948966</v>
      </c>
      <c r="AJ257" s="98" t="str">
        <f t="shared" si="145"/>
        <v>1+0.0335955051320364i</v>
      </c>
      <c r="AK257" s="98">
        <f t="shared" si="160"/>
        <v>1.0005641698387349</v>
      </c>
      <c r="AL257" s="98">
        <f t="shared" si="161"/>
        <v>3.3582874406242608E-2</v>
      </c>
      <c r="AM257" s="98" t="str">
        <f t="shared" si="146"/>
        <v>1+3.39314601833567i</v>
      </c>
      <c r="AN257" s="98">
        <f t="shared" si="162"/>
        <v>3.5374340844384946</v>
      </c>
      <c r="AO257" s="98">
        <f t="shared" si="163"/>
        <v>1.2841981715951196</v>
      </c>
      <c r="AP257" s="168" t="str">
        <f t="shared" si="164"/>
        <v>-0.179120282528658+0.059394553121405i</v>
      </c>
      <c r="AQ257" s="98">
        <f t="shared" si="165"/>
        <v>-14.484062139284067</v>
      </c>
      <c r="AR257" s="169">
        <f t="shared" si="166"/>
        <v>161.65497832342177</v>
      </c>
      <c r="AS257" s="168" t="e">
        <f t="shared" si="167"/>
        <v>#DIV/0!</v>
      </c>
      <c r="AT257" s="190" t="e">
        <f t="shared" si="168"/>
        <v>#DIV/0!</v>
      </c>
      <c r="AU257" s="169" t="e">
        <f t="shared" si="169"/>
        <v>#DIV/0!</v>
      </c>
      <c r="AV257" s="225"/>
      <c r="AX257" t="e">
        <f t="shared" si="170"/>
        <v>#DIV/0!</v>
      </c>
      <c r="AY257" t="e">
        <f t="shared" si="171"/>
        <v>#DIV/0!</v>
      </c>
    </row>
    <row r="258" spans="14:51" x14ac:dyDescent="0.25">
      <c r="N258" s="170">
        <v>40</v>
      </c>
      <c r="O258" s="199">
        <f t="shared" si="172"/>
        <v>2511.8864315095811</v>
      </c>
      <c r="P258" s="189" t="str">
        <f t="shared" si="138"/>
        <v>290</v>
      </c>
      <c r="Q258" s="160" t="e">
        <f t="shared" si="139"/>
        <v>#DIV/0!</v>
      </c>
      <c r="R258" s="160" t="e">
        <f t="shared" si="147"/>
        <v>#DIV/0!</v>
      </c>
      <c r="S258" s="160" t="e">
        <f t="shared" si="148"/>
        <v>#DIV/0!</v>
      </c>
      <c r="T258" s="160" t="e">
        <f t="shared" si="140"/>
        <v>#DIV/0!</v>
      </c>
      <c r="U258" s="160" t="e">
        <f t="shared" si="149"/>
        <v>#DIV/0!</v>
      </c>
      <c r="V258" s="160" t="e">
        <f t="shared" si="150"/>
        <v>#DIV/0!</v>
      </c>
      <c r="W258" s="98" t="str">
        <f t="shared" si="141"/>
        <v>1-0.125767975610626i</v>
      </c>
      <c r="X258" s="160">
        <f t="shared" si="151"/>
        <v>1.0078777622753639</v>
      </c>
      <c r="Y258" s="160">
        <f t="shared" si="152"/>
        <v>-0.12511108353831329</v>
      </c>
      <c r="Z258" s="98" t="str">
        <f t="shared" si="142"/>
        <v>0.999869636912297+0.0149346361503924i</v>
      </c>
      <c r="AA258" s="160">
        <f t="shared" si="153"/>
        <v>0.99998116691069394</v>
      </c>
      <c r="AB258" s="160">
        <f t="shared" si="154"/>
        <v>1.49354726866936E-2</v>
      </c>
      <c r="AC258" s="171" t="e">
        <f t="shared" si="155"/>
        <v>#DIV/0!</v>
      </c>
      <c r="AD258" s="190" t="e">
        <f t="shared" si="156"/>
        <v>#DIV/0!</v>
      </c>
      <c r="AE258" s="169" t="e">
        <f t="shared" si="157"/>
        <v>#DIV/0!</v>
      </c>
      <c r="AF258" s="98" t="str">
        <f t="shared" si="143"/>
        <v>-0.0000182926829268293</v>
      </c>
      <c r="AG258" s="98" t="str">
        <f t="shared" si="144"/>
        <v>0.000350690436777173i</v>
      </c>
      <c r="AH258" s="98">
        <f t="shared" si="158"/>
        <v>3.5069043677717299E-4</v>
      </c>
      <c r="AI258" s="98">
        <f t="shared" si="159"/>
        <v>1.5707963267948966</v>
      </c>
      <c r="AJ258" s="98" t="str">
        <f t="shared" si="145"/>
        <v>1+0.0343780449737451i</v>
      </c>
      <c r="AK258" s="98">
        <f t="shared" si="160"/>
        <v>1.0005907504950347</v>
      </c>
      <c r="AL258" s="98">
        <f t="shared" si="161"/>
        <v>3.4364511338740508E-2</v>
      </c>
      <c r="AM258" s="98" t="str">
        <f t="shared" si="146"/>
        <v>1+3.47218254234825i</v>
      </c>
      <c r="AN258" s="98">
        <f t="shared" si="162"/>
        <v>3.613315874288872</v>
      </c>
      <c r="AO258" s="98">
        <f t="shared" si="163"/>
        <v>1.2903816993495867</v>
      </c>
      <c r="AP258" s="168" t="str">
        <f t="shared" si="164"/>
        <v>-0.179110766007696+0.0583193877575054i</v>
      </c>
      <c r="AQ258" s="98">
        <f t="shared" si="165"/>
        <v>-14.499941423659005</v>
      </c>
      <c r="AR258" s="169">
        <f t="shared" si="166"/>
        <v>161.96448386891112</v>
      </c>
      <c r="AS258" s="168" t="e">
        <f t="shared" si="167"/>
        <v>#DIV/0!</v>
      </c>
      <c r="AT258" s="190" t="e">
        <f t="shared" si="168"/>
        <v>#DIV/0!</v>
      </c>
      <c r="AU258" s="169" t="e">
        <f t="shared" si="169"/>
        <v>#DIV/0!</v>
      </c>
      <c r="AV258" s="225"/>
      <c r="AX258" t="e">
        <f t="shared" si="170"/>
        <v>#DIV/0!</v>
      </c>
      <c r="AY258" t="e">
        <f t="shared" si="171"/>
        <v>#DIV/0!</v>
      </c>
    </row>
    <row r="259" spans="14:51" x14ac:dyDescent="0.25">
      <c r="N259" s="170">
        <v>41</v>
      </c>
      <c r="O259" s="199">
        <f t="shared" si="172"/>
        <v>2570.3957827688669</v>
      </c>
      <c r="P259" s="189" t="str">
        <f t="shared" si="138"/>
        <v>290</v>
      </c>
      <c r="Q259" s="160" t="e">
        <f t="shared" si="139"/>
        <v>#DIV/0!</v>
      </c>
      <c r="R259" s="160" t="e">
        <f t="shared" si="147"/>
        <v>#DIV/0!</v>
      </c>
      <c r="S259" s="160" t="e">
        <f t="shared" si="148"/>
        <v>#DIV/0!</v>
      </c>
      <c r="T259" s="160" t="e">
        <f t="shared" si="140"/>
        <v>#DIV/0!</v>
      </c>
      <c r="U259" s="160" t="e">
        <f t="shared" si="149"/>
        <v>#DIV/0!</v>
      </c>
      <c r="V259" s="160" t="e">
        <f t="shared" si="150"/>
        <v>#DIV/0!</v>
      </c>
      <c r="W259" s="98" t="str">
        <f t="shared" si="141"/>
        <v>1-0.12869748809569i</v>
      </c>
      <c r="X259" s="160">
        <f t="shared" si="151"/>
        <v>1.0082475110022044</v>
      </c>
      <c r="Y259" s="160">
        <f t="shared" si="152"/>
        <v>-0.12799392615231905</v>
      </c>
      <c r="Z259" s="98" t="str">
        <f t="shared" si="142"/>
        <v>0.999863493089255+0.0152825085149594i</v>
      </c>
      <c r="AA259" s="160">
        <f t="shared" si="153"/>
        <v>0.99998027974513404</v>
      </c>
      <c r="AB259" s="160">
        <f t="shared" si="154"/>
        <v>1.5283404878146696E-2</v>
      </c>
      <c r="AC259" s="171" t="e">
        <f t="shared" si="155"/>
        <v>#DIV/0!</v>
      </c>
      <c r="AD259" s="190" t="e">
        <f t="shared" si="156"/>
        <v>#DIV/0!</v>
      </c>
      <c r="AE259" s="169" t="e">
        <f t="shared" si="157"/>
        <v>#DIV/0!</v>
      </c>
      <c r="AF259" s="98" t="str">
        <f t="shared" si="143"/>
        <v>-0.0000182926829268293</v>
      </c>
      <c r="AG259" s="98" t="str">
        <f t="shared" si="144"/>
        <v>0.000358859066413958i</v>
      </c>
      <c r="AH259" s="98">
        <f t="shared" si="158"/>
        <v>3.5885906641395799E-4</v>
      </c>
      <c r="AI259" s="98">
        <f t="shared" si="159"/>
        <v>1.5707963267948966</v>
      </c>
      <c r="AJ259" s="98" t="str">
        <f t="shared" si="145"/>
        <v>1+0.0351788125099459i</v>
      </c>
      <c r="AK259" s="98">
        <f t="shared" si="160"/>
        <v>1.0006185831022778</v>
      </c>
      <c r="AL259" s="98">
        <f t="shared" si="161"/>
        <v>3.5164311442907166E-2</v>
      </c>
      <c r="AM259" s="98" t="str">
        <f t="shared" si="146"/>
        <v>1+3.55306006350453i</v>
      </c>
      <c r="AN259" s="98">
        <f t="shared" si="162"/>
        <v>3.6911022493112835</v>
      </c>
      <c r="AO259" s="98">
        <f t="shared" si="163"/>
        <v>1.2964458291505989</v>
      </c>
      <c r="AP259" s="168" t="str">
        <f t="shared" si="164"/>
        <v>-0.179100802070675+0.0572751132977996i</v>
      </c>
      <c r="AQ259" s="98">
        <f t="shared" si="165"/>
        <v>-14.515180089269037</v>
      </c>
      <c r="AR259" s="169">
        <f t="shared" si="166"/>
        <v>162.26610774250574</v>
      </c>
      <c r="AS259" s="168" t="e">
        <f t="shared" si="167"/>
        <v>#DIV/0!</v>
      </c>
      <c r="AT259" s="190" t="e">
        <f t="shared" si="168"/>
        <v>#DIV/0!</v>
      </c>
      <c r="AU259" s="169" t="e">
        <f t="shared" si="169"/>
        <v>#DIV/0!</v>
      </c>
      <c r="AV259" s="225"/>
      <c r="AX259" t="e">
        <f t="shared" si="170"/>
        <v>#DIV/0!</v>
      </c>
      <c r="AY259" t="e">
        <f t="shared" si="171"/>
        <v>#DIV/0!</v>
      </c>
    </row>
    <row r="260" spans="14:51" x14ac:dyDescent="0.25">
      <c r="N260" s="170">
        <v>42</v>
      </c>
      <c r="O260" s="199">
        <f t="shared" si="172"/>
        <v>2630.2679918953822</v>
      </c>
      <c r="P260" s="189" t="str">
        <f t="shared" si="138"/>
        <v>290</v>
      </c>
      <c r="Q260" s="160" t="e">
        <f t="shared" si="139"/>
        <v>#DIV/0!</v>
      </c>
      <c r="R260" s="160" t="e">
        <f t="shared" si="147"/>
        <v>#DIV/0!</v>
      </c>
      <c r="S260" s="160" t="e">
        <f t="shared" si="148"/>
        <v>#DIV/0!</v>
      </c>
      <c r="T260" s="160" t="e">
        <f t="shared" si="140"/>
        <v>#DIV/0!</v>
      </c>
      <c r="U260" s="160" t="e">
        <f t="shared" si="149"/>
        <v>#DIV/0!</v>
      </c>
      <c r="V260" s="160" t="e">
        <f t="shared" si="150"/>
        <v>#DIV/0!</v>
      </c>
      <c r="W260" s="98" t="str">
        <f t="shared" si="141"/>
        <v>1-0.131695237692455i</v>
      </c>
      <c r="X260" s="160">
        <f t="shared" si="151"/>
        <v>1.0086345401734329</v>
      </c>
      <c r="Y260" s="160">
        <f t="shared" si="152"/>
        <v>-0.13094170560536128</v>
      </c>
      <c r="Z260" s="98" t="str">
        <f t="shared" si="142"/>
        <v>0.999857059716752+0.0156384838678289i</v>
      </c>
      <c r="AA260" s="160">
        <f t="shared" si="153"/>
        <v>0.99997935080836187</v>
      </c>
      <c r="AB260" s="160">
        <f t="shared" si="154"/>
        <v>1.5639444336483285E-2</v>
      </c>
      <c r="AC260" s="171" t="e">
        <f t="shared" si="155"/>
        <v>#DIV/0!</v>
      </c>
      <c r="AD260" s="190" t="e">
        <f t="shared" si="156"/>
        <v>#DIV/0!</v>
      </c>
      <c r="AE260" s="169" t="e">
        <f t="shared" si="157"/>
        <v>#DIV/0!</v>
      </c>
      <c r="AF260" s="98" t="str">
        <f t="shared" si="143"/>
        <v>-0.0000182926829268293</v>
      </c>
      <c r="AG260" s="98" t="str">
        <f t="shared" si="144"/>
        <v>0.000367217967877817i</v>
      </c>
      <c r="AH260" s="98">
        <f t="shared" si="158"/>
        <v>3.6721796787781699E-4</v>
      </c>
      <c r="AI260" s="98">
        <f t="shared" si="159"/>
        <v>1.5707963267948966</v>
      </c>
      <c r="AJ260" s="98" t="str">
        <f t="shared" si="145"/>
        <v>1+0.0359982323181861i</v>
      </c>
      <c r="AK260" s="98">
        <f t="shared" si="160"/>
        <v>1.0006477265901492</v>
      </c>
      <c r="AL260" s="98">
        <f t="shared" si="161"/>
        <v>3.5982694688075946E-2</v>
      </c>
      <c r="AM260" s="98" t="str">
        <f t="shared" si="146"/>
        <v>1+3.63582146413679i</v>
      </c>
      <c r="AN260" s="98">
        <f t="shared" si="162"/>
        <v>3.7708351487538927</v>
      </c>
      <c r="AO260" s="98">
        <f t="shared" si="163"/>
        <v>1.3023919915809186</v>
      </c>
      <c r="AP260" s="168" t="str">
        <f t="shared" si="164"/>
        <v>-0.179090369735889+0.0562611738563536i</v>
      </c>
      <c r="AQ260" s="98">
        <f t="shared" si="165"/>
        <v>-14.529803654618823</v>
      </c>
      <c r="AR260" s="169">
        <f t="shared" si="166"/>
        <v>162.55990784808995</v>
      </c>
      <c r="AS260" s="168" t="e">
        <f t="shared" si="167"/>
        <v>#DIV/0!</v>
      </c>
      <c r="AT260" s="190" t="e">
        <f t="shared" si="168"/>
        <v>#DIV/0!</v>
      </c>
      <c r="AU260" s="169" t="e">
        <f t="shared" si="169"/>
        <v>#DIV/0!</v>
      </c>
      <c r="AV260" s="225"/>
      <c r="AX260" t="e">
        <f t="shared" si="170"/>
        <v>#DIV/0!</v>
      </c>
      <c r="AY260" t="e">
        <f t="shared" si="171"/>
        <v>#DIV/0!</v>
      </c>
    </row>
    <row r="261" spans="14:51" x14ac:dyDescent="0.25">
      <c r="N261" s="170">
        <v>43</v>
      </c>
      <c r="O261" s="199">
        <f t="shared" si="172"/>
        <v>2691.5348039269184</v>
      </c>
      <c r="P261" s="189" t="str">
        <f t="shared" si="138"/>
        <v>290</v>
      </c>
      <c r="Q261" s="160" t="e">
        <f t="shared" si="139"/>
        <v>#DIV/0!</v>
      </c>
      <c r="R261" s="160" t="e">
        <f t="shared" si="147"/>
        <v>#DIV/0!</v>
      </c>
      <c r="S261" s="160" t="e">
        <f t="shared" si="148"/>
        <v>#DIV/0!</v>
      </c>
      <c r="T261" s="160" t="e">
        <f t="shared" si="140"/>
        <v>#DIV/0!</v>
      </c>
      <c r="U261" s="160" t="e">
        <f t="shared" si="149"/>
        <v>#DIV/0!</v>
      </c>
      <c r="V261" s="160" t="e">
        <f t="shared" si="150"/>
        <v>#DIV/0!</v>
      </c>
      <c r="W261" s="98" t="str">
        <f t="shared" si="141"/>
        <v>1-0.134762813847438i</v>
      </c>
      <c r="X261" s="160">
        <f t="shared" si="151"/>
        <v>1.0090396503587356</v>
      </c>
      <c r="Y261" s="160">
        <f t="shared" si="152"/>
        <v>-0.13395577982474621</v>
      </c>
      <c r="Z261" s="98" t="str">
        <f t="shared" si="142"/>
        <v>0.999850323148745+0.0160027509518449i</v>
      </c>
      <c r="AA261" s="160">
        <f t="shared" si="153"/>
        <v>0.99997837813558577</v>
      </c>
      <c r="AB261" s="160">
        <f t="shared" si="154"/>
        <v>1.6003780110524495E-2</v>
      </c>
      <c r="AC261" s="171" t="e">
        <f t="shared" si="155"/>
        <v>#DIV/0!</v>
      </c>
      <c r="AD261" s="190" t="e">
        <f t="shared" si="156"/>
        <v>#DIV/0!</v>
      </c>
      <c r="AE261" s="169" t="e">
        <f t="shared" si="157"/>
        <v>#DIV/0!</v>
      </c>
      <c r="AF261" s="98" t="str">
        <f t="shared" si="143"/>
        <v>-0.0000182926829268293</v>
      </c>
      <c r="AG261" s="98" t="str">
        <f t="shared" si="144"/>
        <v>0.000375771573168949i</v>
      </c>
      <c r="AH261" s="98">
        <f t="shared" si="158"/>
        <v>3.7577157316894899E-4</v>
      </c>
      <c r="AI261" s="98">
        <f t="shared" si="159"/>
        <v>1.5707963267948966</v>
      </c>
      <c r="AJ261" s="98" t="str">
        <f t="shared" si="145"/>
        <v>1+0.0368367388656945i</v>
      </c>
      <c r="AK261" s="98">
        <f t="shared" si="160"/>
        <v>1.0006782426585776</v>
      </c>
      <c r="AL261" s="98">
        <f t="shared" si="161"/>
        <v>3.6820090604466872E-2</v>
      </c>
      <c r="AM261" s="98" t="str">
        <f t="shared" si="146"/>
        <v>1+3.72051062543514i</v>
      </c>
      <c r="AN261" s="98">
        <f t="shared" si="162"/>
        <v>3.8525575030070316</v>
      </c>
      <c r="AO261" s="98">
        <f t="shared" si="163"/>
        <v>1.308221656805399</v>
      </c>
      <c r="AP261" s="168" t="str">
        <f t="shared" si="164"/>
        <v>-0.179079447042832+0.0552770294747489i</v>
      </c>
      <c r="AQ261" s="98">
        <f t="shared" si="165"/>
        <v>-14.543836876026418</v>
      </c>
      <c r="AR261" s="169">
        <f t="shared" si="166"/>
        <v>162.84594380963617</v>
      </c>
      <c r="AS261" s="168" t="e">
        <f t="shared" si="167"/>
        <v>#DIV/0!</v>
      </c>
      <c r="AT261" s="190" t="e">
        <f t="shared" si="168"/>
        <v>#DIV/0!</v>
      </c>
      <c r="AU261" s="169" t="e">
        <f t="shared" si="169"/>
        <v>#DIV/0!</v>
      </c>
      <c r="AV261" s="225"/>
      <c r="AX261" t="e">
        <f t="shared" si="170"/>
        <v>#DIV/0!</v>
      </c>
      <c r="AY261" t="e">
        <f t="shared" si="171"/>
        <v>#DIV/0!</v>
      </c>
    </row>
    <row r="262" spans="14:51" x14ac:dyDescent="0.25">
      <c r="N262" s="170">
        <v>44</v>
      </c>
      <c r="O262" s="199">
        <f t="shared" si="172"/>
        <v>2754.228703338169</v>
      </c>
      <c r="P262" s="189" t="str">
        <f t="shared" si="138"/>
        <v>290</v>
      </c>
      <c r="Q262" s="160" t="e">
        <f t="shared" si="139"/>
        <v>#DIV/0!</v>
      </c>
      <c r="R262" s="160" t="e">
        <f t="shared" si="147"/>
        <v>#DIV/0!</v>
      </c>
      <c r="S262" s="160" t="e">
        <f t="shared" si="148"/>
        <v>#DIV/0!</v>
      </c>
      <c r="T262" s="160" t="e">
        <f t="shared" si="140"/>
        <v>#DIV/0!</v>
      </c>
      <c r="U262" s="160" t="e">
        <f t="shared" si="149"/>
        <v>#DIV/0!</v>
      </c>
      <c r="V262" s="160" t="e">
        <f t="shared" si="150"/>
        <v>#DIV/0!</v>
      </c>
      <c r="W262" s="98" t="str">
        <f t="shared" si="141"/>
        <v>1-0.137901843030119i</v>
      </c>
      <c r="X262" s="160">
        <f t="shared" si="151"/>
        <v>1.0094636785497058</v>
      </c>
      <c r="Y262" s="160">
        <f t="shared" si="152"/>
        <v>-0.13703752774231545</v>
      </c>
      <c r="Z262" s="98" t="str">
        <f t="shared" si="142"/>
        <v>0.999843269096068+0.0163755029062371i</v>
      </c>
      <c r="AA262" s="160">
        <f t="shared" si="153"/>
        <v>0.99997735966978007</v>
      </c>
      <c r="AB262" s="160">
        <f t="shared" si="154"/>
        <v>1.6376605667357578E-2</v>
      </c>
      <c r="AC262" s="171" t="e">
        <f t="shared" si="155"/>
        <v>#DIV/0!</v>
      </c>
      <c r="AD262" s="190" t="e">
        <f t="shared" si="156"/>
        <v>#DIV/0!</v>
      </c>
      <c r="AE262" s="169" t="e">
        <f t="shared" si="157"/>
        <v>#DIV/0!</v>
      </c>
      <c r="AF262" s="98" t="str">
        <f t="shared" si="143"/>
        <v>-0.0000182926829268293</v>
      </c>
      <c r="AG262" s="98" t="str">
        <f t="shared" si="144"/>
        <v>0.000384524417522101i</v>
      </c>
      <c r="AH262" s="98">
        <f t="shared" si="158"/>
        <v>3.8452441752210101E-4</v>
      </c>
      <c r="AI262" s="98">
        <f t="shared" si="159"/>
        <v>1.5707963267948966</v>
      </c>
      <c r="AJ262" s="98" t="str">
        <f t="shared" si="145"/>
        <v>1+0.0376947767397413i</v>
      </c>
      <c r="AK262" s="98">
        <f t="shared" si="160"/>
        <v>1.0007101959076159</v>
      </c>
      <c r="AL262" s="98">
        <f t="shared" si="161"/>
        <v>3.7676938490126523E-2</v>
      </c>
      <c r="AM262" s="98" t="str">
        <f t="shared" si="146"/>
        <v>1+3.80717245071387i</v>
      </c>
      <c r="AN262" s="98">
        <f t="shared" si="162"/>
        <v>3.9363132585548444</v>
      </c>
      <c r="AO262" s="98">
        <f t="shared" si="163"/>
        <v>1.3139363301794407</v>
      </c>
      <c r="AP262" s="168" t="str">
        <f t="shared" si="164"/>
        <v>-0.179068011007032+0.0543221558246754i</v>
      </c>
      <c r="AQ262" s="98">
        <f t="shared" si="165"/>
        <v>-14.557303758969642</v>
      </c>
      <c r="AR262" s="169">
        <f t="shared" si="166"/>
        <v>163.12427670773152</v>
      </c>
      <c r="AS262" s="168" t="e">
        <f t="shared" si="167"/>
        <v>#DIV/0!</v>
      </c>
      <c r="AT262" s="190" t="e">
        <f t="shared" si="168"/>
        <v>#DIV/0!</v>
      </c>
      <c r="AU262" s="169" t="e">
        <f t="shared" si="169"/>
        <v>#DIV/0!</v>
      </c>
      <c r="AV262" s="225"/>
      <c r="AX262" t="e">
        <f t="shared" si="170"/>
        <v>#DIV/0!</v>
      </c>
      <c r="AY262" t="e">
        <f t="shared" si="171"/>
        <v>#DIV/0!</v>
      </c>
    </row>
    <row r="263" spans="14:51" x14ac:dyDescent="0.25">
      <c r="N263" s="170">
        <v>45</v>
      </c>
      <c r="O263" s="199">
        <f t="shared" si="172"/>
        <v>2818.3829312644561</v>
      </c>
      <c r="P263" s="189" t="str">
        <f t="shared" si="138"/>
        <v>290</v>
      </c>
      <c r="Q263" s="160" t="e">
        <f t="shared" si="139"/>
        <v>#DIV/0!</v>
      </c>
      <c r="R263" s="160" t="e">
        <f t="shared" si="147"/>
        <v>#DIV/0!</v>
      </c>
      <c r="S263" s="160" t="e">
        <f t="shared" si="148"/>
        <v>#DIV/0!</v>
      </c>
      <c r="T263" s="160" t="e">
        <f t="shared" si="140"/>
        <v>#DIV/0!</v>
      </c>
      <c r="U263" s="160" t="e">
        <f t="shared" si="149"/>
        <v>#DIV/0!</v>
      </c>
      <c r="V263" s="160" t="e">
        <f t="shared" si="150"/>
        <v>#DIV/0!</v>
      </c>
      <c r="W263" s="98" t="str">
        <f t="shared" si="141"/>
        <v>1-0.141113989595322i</v>
      </c>
      <c r="X263" s="160">
        <f t="shared" si="151"/>
        <v>1.009907499754066</v>
      </c>
      <c r="Y263" s="160">
        <f t="shared" si="152"/>
        <v>-0.14018834907514402</v>
      </c>
      <c r="Z263" s="98" t="str">
        <f t="shared" si="142"/>
        <v>0.999835882596131+0.0167569373690256i</v>
      </c>
      <c r="AA263" s="160">
        <f t="shared" si="153"/>
        <v>0.99997629325738191</v>
      </c>
      <c r="AB263" s="160">
        <f t="shared" si="154"/>
        <v>1.6758118996304999E-2</v>
      </c>
      <c r="AC263" s="171" t="e">
        <f t="shared" si="155"/>
        <v>#DIV/0!</v>
      </c>
      <c r="AD263" s="190" t="e">
        <f t="shared" si="156"/>
        <v>#DIV/0!</v>
      </c>
      <c r="AE263" s="169" t="e">
        <f t="shared" si="157"/>
        <v>#DIV/0!</v>
      </c>
      <c r="AF263" s="98" t="str">
        <f t="shared" si="143"/>
        <v>-0.0000182926829268293</v>
      </c>
      <c r="AG263" s="98" t="str">
        <f t="shared" si="144"/>
        <v>0.000393481141811204i</v>
      </c>
      <c r="AH263" s="98">
        <f t="shared" si="158"/>
        <v>3.93481141811204E-4</v>
      </c>
      <c r="AI263" s="98">
        <f t="shared" si="159"/>
        <v>1.5707963267948966</v>
      </c>
      <c r="AJ263" s="98" t="str">
        <f t="shared" si="145"/>
        <v>1+0.0385728008833649i</v>
      </c>
      <c r="AK263" s="98">
        <f t="shared" si="160"/>
        <v>1.0007436539733778</v>
      </c>
      <c r="AL263" s="98">
        <f t="shared" si="161"/>
        <v>3.8553687621571346E-2</v>
      </c>
      <c r="AM263" s="98" t="str">
        <f t="shared" si="146"/>
        <v>1+3.89585288921985i</v>
      </c>
      <c r="AN263" s="98">
        <f t="shared" si="162"/>
        <v>4.0221474033708233</v>
      </c>
      <c r="AO263" s="98">
        <f t="shared" si="163"/>
        <v>1.3195375480695544</v>
      </c>
      <c r="AP263" s="168" t="str">
        <f t="shared" si="164"/>
        <v>-0.179056037572855+0.053396043918031i</v>
      </c>
      <c r="AQ263" s="98">
        <f t="shared" si="165"/>
        <v>-14.570227570700302</v>
      </c>
      <c r="AR263" s="169">
        <f t="shared" si="166"/>
        <v>163.39496882804465</v>
      </c>
      <c r="AS263" s="168" t="e">
        <f t="shared" si="167"/>
        <v>#DIV/0!</v>
      </c>
      <c r="AT263" s="190" t="e">
        <f t="shared" si="168"/>
        <v>#DIV/0!</v>
      </c>
      <c r="AU263" s="169" t="e">
        <f t="shared" si="169"/>
        <v>#DIV/0!</v>
      </c>
      <c r="AV263" s="225"/>
      <c r="AX263" t="e">
        <f t="shared" si="170"/>
        <v>#DIV/0!</v>
      </c>
      <c r="AY263" t="e">
        <f t="shared" si="171"/>
        <v>#DIV/0!</v>
      </c>
    </row>
    <row r="264" spans="14:51" x14ac:dyDescent="0.25">
      <c r="N264" s="170">
        <v>46</v>
      </c>
      <c r="O264" s="199">
        <f t="shared" si="172"/>
        <v>2884.0315031266077</v>
      </c>
      <c r="P264" s="189" t="str">
        <f t="shared" si="138"/>
        <v>290</v>
      </c>
      <c r="Q264" s="160" t="e">
        <f t="shared" si="139"/>
        <v>#DIV/0!</v>
      </c>
      <c r="R264" s="160" t="e">
        <f t="shared" si="147"/>
        <v>#DIV/0!</v>
      </c>
      <c r="S264" s="160" t="e">
        <f t="shared" si="148"/>
        <v>#DIV/0!</v>
      </c>
      <c r="T264" s="160" t="e">
        <f t="shared" si="140"/>
        <v>#DIV/0!</v>
      </c>
      <c r="U264" s="160" t="e">
        <f t="shared" si="149"/>
        <v>#DIV/0!</v>
      </c>
      <c r="V264" s="160" t="e">
        <f t="shared" si="150"/>
        <v>#DIV/0!</v>
      </c>
      <c r="W264" s="98" t="str">
        <f t="shared" si="141"/>
        <v>1-0.144400956665672i</v>
      </c>
      <c r="X264" s="160">
        <f t="shared" si="151"/>
        <v>1.0103720286537832</v>
      </c>
      <c r="Y264" s="160">
        <f t="shared" si="152"/>
        <v>-0.14340966405643135</v>
      </c>
      <c r="Z264" s="98" t="str">
        <f t="shared" si="142"/>
        <v>0.999828147981177+0.0171472565818113i</v>
      </c>
      <c r="AA264" s="160">
        <f t="shared" si="153"/>
        <v>0.99997517664377689</v>
      </c>
      <c r="AB264" s="160">
        <f t="shared" si="154"/>
        <v>1.7148522715391259E-2</v>
      </c>
      <c r="AC264" s="171" t="e">
        <f t="shared" si="155"/>
        <v>#DIV/0!</v>
      </c>
      <c r="AD264" s="190" t="e">
        <f t="shared" si="156"/>
        <v>#DIV/0!</v>
      </c>
      <c r="AE264" s="169" t="e">
        <f t="shared" si="157"/>
        <v>#DIV/0!</v>
      </c>
      <c r="AF264" s="98" t="str">
        <f t="shared" si="143"/>
        <v>-0.0000182926829268293</v>
      </c>
      <c r="AG264" s="98" t="str">
        <f t="shared" si="144"/>
        <v>0.000402646495010035i</v>
      </c>
      <c r="AH264" s="98">
        <f t="shared" si="158"/>
        <v>4.0264649501003502E-4</v>
      </c>
      <c r="AI264" s="98">
        <f t="shared" si="159"/>
        <v>1.5707963267948966</v>
      </c>
      <c r="AJ264" s="98" t="str">
        <f t="shared" si="145"/>
        <v>1+0.0394712768365882i</v>
      </c>
      <c r="AK264" s="98">
        <f t="shared" si="160"/>
        <v>1.0007786876703113</v>
      </c>
      <c r="AL264" s="98">
        <f t="shared" si="161"/>
        <v>3.9450797468139599E-2</v>
      </c>
      <c r="AM264" s="98" t="str">
        <f t="shared" si="146"/>
        <v>1+3.9865989604954i</v>
      </c>
      <c r="AN264" s="98">
        <f t="shared" si="162"/>
        <v>4.1101059927723282</v>
      </c>
      <c r="AO264" s="98">
        <f t="shared" si="163"/>
        <v>1.325026873883814</v>
      </c>
      <c r="AP264" s="168" t="str">
        <f t="shared" si="164"/>
        <v>-0.179043501564177+0.0524981998243113i</v>
      </c>
      <c r="AQ264" s="98">
        <f t="shared" si="165"/>
        <v>-14.582630853985384</v>
      </c>
      <c r="AR264" s="169">
        <f t="shared" si="166"/>
        <v>163.65808342160597</v>
      </c>
      <c r="AS264" s="168" t="e">
        <f t="shared" si="167"/>
        <v>#DIV/0!</v>
      </c>
      <c r="AT264" s="190" t="e">
        <f t="shared" si="168"/>
        <v>#DIV/0!</v>
      </c>
      <c r="AU264" s="169" t="e">
        <f t="shared" si="169"/>
        <v>#DIV/0!</v>
      </c>
      <c r="AV264" s="225"/>
      <c r="AX264" t="e">
        <f t="shared" si="170"/>
        <v>#DIV/0!</v>
      </c>
      <c r="AY264" t="e">
        <f t="shared" si="171"/>
        <v>#DIV/0!</v>
      </c>
    </row>
    <row r="265" spans="14:51" x14ac:dyDescent="0.25">
      <c r="N265" s="170">
        <v>47</v>
      </c>
      <c r="O265" s="199">
        <f t="shared" si="172"/>
        <v>2951.2092266663876</v>
      </c>
      <c r="P265" s="189" t="str">
        <f t="shared" si="138"/>
        <v>290</v>
      </c>
      <c r="Q265" s="160" t="e">
        <f t="shared" si="139"/>
        <v>#DIV/0!</v>
      </c>
      <c r="R265" s="160" t="e">
        <f t="shared" si="147"/>
        <v>#DIV/0!</v>
      </c>
      <c r="S265" s="160" t="e">
        <f t="shared" si="148"/>
        <v>#DIV/0!</v>
      </c>
      <c r="T265" s="160" t="e">
        <f t="shared" si="140"/>
        <v>#DIV/0!</v>
      </c>
      <c r="U265" s="160" t="e">
        <f t="shared" si="149"/>
        <v>#DIV/0!</v>
      </c>
      <c r="V265" s="160" t="e">
        <f t="shared" si="150"/>
        <v>#DIV/0!</v>
      </c>
      <c r="W265" s="98" t="str">
        <f t="shared" si="141"/>
        <v>1-0.147764487034619i</v>
      </c>
      <c r="X265" s="160">
        <f t="shared" si="151"/>
        <v>1.0108582213290864</v>
      </c>
      <c r="Y265" s="160">
        <f t="shared" si="152"/>
        <v>-0.14670291311293626</v>
      </c>
      <c r="Z265" s="98" t="str">
        <f t="shared" si="142"/>
        <v>0.99982004884505+0.0175466674970076i</v>
      </c>
      <c r="AA265" s="160">
        <f t="shared" si="153"/>
        <v>0.99997400746857856</v>
      </c>
      <c r="AB265" s="160">
        <f t="shared" si="154"/>
        <v>1.7548024180370787E-2</v>
      </c>
      <c r="AC265" s="171" t="e">
        <f t="shared" si="155"/>
        <v>#DIV/0!</v>
      </c>
      <c r="AD265" s="190" t="e">
        <f t="shared" si="156"/>
        <v>#DIV/0!</v>
      </c>
      <c r="AE265" s="169" t="e">
        <f t="shared" si="157"/>
        <v>#DIV/0!</v>
      </c>
      <c r="AF265" s="98" t="str">
        <f t="shared" si="143"/>
        <v>-0.0000182926829268293</v>
      </c>
      <c r="AG265" s="98" t="str">
        <f t="shared" si="144"/>
        <v>0.000412025336710176i</v>
      </c>
      <c r="AH265" s="98">
        <f t="shared" si="158"/>
        <v>4.1202533671017602E-4</v>
      </c>
      <c r="AI265" s="98">
        <f t="shared" si="159"/>
        <v>1.5707963267948966</v>
      </c>
      <c r="AJ265" s="98" t="str">
        <f t="shared" si="145"/>
        <v>1+0.0403906809832543i</v>
      </c>
      <c r="AK265" s="98">
        <f t="shared" si="160"/>
        <v>1.0008153711400973</v>
      </c>
      <c r="AL265" s="98">
        <f t="shared" si="161"/>
        <v>4.0368737910055838E-2</v>
      </c>
      <c r="AM265" s="98" t="str">
        <f t="shared" si="146"/>
        <v>1+4.07945877930868i</v>
      </c>
      <c r="AN265" s="98">
        <f t="shared" si="162"/>
        <v>4.2002361757499616</v>
      </c>
      <c r="AO265" s="98">
        <f t="shared" si="163"/>
        <v>1.3304058943091579</v>
      </c>
      <c r="AP265" s="168" t="str">
        <f t="shared" si="164"/>
        <v>-0.179030376632845+0.0516281443950864i</v>
      </c>
      <c r="AQ265" s="98">
        <f t="shared" si="165"/>
        <v>-14.594535441841295</v>
      </c>
      <c r="AR265" s="169">
        <f t="shared" si="166"/>
        <v>163.91368447672664</v>
      </c>
      <c r="AS265" s="168" t="e">
        <f t="shared" si="167"/>
        <v>#DIV/0!</v>
      </c>
      <c r="AT265" s="190" t="e">
        <f t="shared" si="168"/>
        <v>#DIV/0!</v>
      </c>
      <c r="AU265" s="169" t="e">
        <f t="shared" si="169"/>
        <v>#DIV/0!</v>
      </c>
      <c r="AV265" s="225"/>
      <c r="AX265" t="e">
        <f t="shared" si="170"/>
        <v>#DIV/0!</v>
      </c>
      <c r="AY265" t="e">
        <f t="shared" si="171"/>
        <v>#DIV/0!</v>
      </c>
    </row>
    <row r="266" spans="14:51" x14ac:dyDescent="0.25">
      <c r="N266" s="170">
        <v>48</v>
      </c>
      <c r="O266" s="199">
        <f t="shared" si="172"/>
        <v>3019.9517204020176</v>
      </c>
      <c r="P266" s="189" t="str">
        <f t="shared" si="138"/>
        <v>290</v>
      </c>
      <c r="Q266" s="160" t="e">
        <f t="shared" si="139"/>
        <v>#DIV/0!</v>
      </c>
      <c r="R266" s="160" t="e">
        <f t="shared" si="147"/>
        <v>#DIV/0!</v>
      </c>
      <c r="S266" s="160" t="e">
        <f t="shared" si="148"/>
        <v>#DIV/0!</v>
      </c>
      <c r="T266" s="160" t="e">
        <f t="shared" si="140"/>
        <v>#DIV/0!</v>
      </c>
      <c r="U266" s="160" t="e">
        <f t="shared" si="149"/>
        <v>#DIV/0!</v>
      </c>
      <c r="V266" s="160" t="e">
        <f t="shared" si="150"/>
        <v>#DIV/0!</v>
      </c>
      <c r="W266" s="98" t="str">
        <f t="shared" si="141"/>
        <v>1-0.151206364090486i</v>
      </c>
      <c r="X266" s="160">
        <f t="shared" si="151"/>
        <v>1.0113670770503975</v>
      </c>
      <c r="Y266" s="160">
        <f t="shared" si="152"/>
        <v>-0.15006955648507184</v>
      </c>
      <c r="Z266" s="98" t="str">
        <f t="shared" si="142"/>
        <v>0.999811568008398+0.0179553818875683i</v>
      </c>
      <c r="AA266" s="160">
        <f t="shared" si="153"/>
        <v>0.9999727832606945</v>
      </c>
      <c r="AB266" s="160">
        <f t="shared" si="154"/>
        <v>1.7956835596380411E-2</v>
      </c>
      <c r="AC266" s="171" t="e">
        <f t="shared" si="155"/>
        <v>#DIV/0!</v>
      </c>
      <c r="AD266" s="190" t="e">
        <f t="shared" si="156"/>
        <v>#DIV/0!</v>
      </c>
      <c r="AE266" s="169" t="e">
        <f t="shared" si="157"/>
        <v>#DIV/0!</v>
      </c>
      <c r="AF266" s="98" t="str">
        <f t="shared" si="143"/>
        <v>-0.0000182926829268293</v>
      </c>
      <c r="AG266" s="98" t="str">
        <f t="shared" si="144"/>
        <v>0.000421622639697642i</v>
      </c>
      <c r="AH266" s="98">
        <f t="shared" si="158"/>
        <v>4.2162263969764199E-4</v>
      </c>
      <c r="AI266" s="98">
        <f t="shared" si="159"/>
        <v>1.5707963267948966</v>
      </c>
      <c r="AJ266" s="98" t="str">
        <f t="shared" si="145"/>
        <v>1+0.0413315008036116i</v>
      </c>
      <c r="AK266" s="98">
        <f t="shared" si="160"/>
        <v>1.0008537820074812</v>
      </c>
      <c r="AL266" s="98">
        <f t="shared" si="161"/>
        <v>4.1307989460203483E-2</v>
      </c>
      <c r="AM266" s="98" t="str">
        <f t="shared" si="146"/>
        <v>1+4.17448158116477i</v>
      </c>
      <c r="AN266" s="98">
        <f t="shared" si="162"/>
        <v>4.2925862217879693</v>
      </c>
      <c r="AO266" s="98">
        <f t="shared" si="163"/>
        <v>1.3356762157517528</v>
      </c>
      <c r="AP266" s="168" t="str">
        <f t="shared" si="164"/>
        <v>-0.179016635204835+0.0507854129953543i</v>
      </c>
      <c r="AQ266" s="98">
        <f t="shared" si="165"/>
        <v>-14.605962473136415</v>
      </c>
      <c r="AR266" s="169">
        <f t="shared" si="166"/>
        <v>164.16183650234007</v>
      </c>
      <c r="AS266" s="168" t="e">
        <f t="shared" si="167"/>
        <v>#DIV/0!</v>
      </c>
      <c r="AT266" s="190" t="e">
        <f t="shared" si="168"/>
        <v>#DIV/0!</v>
      </c>
      <c r="AU266" s="169" t="e">
        <f t="shared" si="169"/>
        <v>#DIV/0!</v>
      </c>
      <c r="AV266" s="225"/>
      <c r="AX266" t="e">
        <f t="shared" si="170"/>
        <v>#DIV/0!</v>
      </c>
      <c r="AY266" t="e">
        <f t="shared" si="171"/>
        <v>#DIV/0!</v>
      </c>
    </row>
    <row r="267" spans="14:51" x14ac:dyDescent="0.25">
      <c r="N267" s="170">
        <v>49</v>
      </c>
      <c r="O267" s="199">
        <f t="shared" si="172"/>
        <v>3090.295432513592</v>
      </c>
      <c r="P267" s="189" t="str">
        <f t="shared" si="138"/>
        <v>290</v>
      </c>
      <c r="Q267" s="160" t="e">
        <f t="shared" si="139"/>
        <v>#DIV/0!</v>
      </c>
      <c r="R267" s="160" t="e">
        <f t="shared" si="147"/>
        <v>#DIV/0!</v>
      </c>
      <c r="S267" s="160" t="e">
        <f t="shared" si="148"/>
        <v>#DIV/0!</v>
      </c>
      <c r="T267" s="160" t="e">
        <f t="shared" si="140"/>
        <v>#DIV/0!</v>
      </c>
      <c r="U267" s="160" t="e">
        <f t="shared" si="149"/>
        <v>#DIV/0!</v>
      </c>
      <c r="V267" s="160" t="e">
        <f t="shared" si="150"/>
        <v>#DIV/0!</v>
      </c>
      <c r="W267" s="98" t="str">
        <f t="shared" si="141"/>
        <v>1-0.154728412762046i</v>
      </c>
      <c r="X267" s="160">
        <f t="shared" si="151"/>
        <v>1.0118996401401981</v>
      </c>
      <c r="Y267" s="160">
        <f t="shared" si="152"/>
        <v>-0.15351107378562043</v>
      </c>
      <c r="Z267" s="98" t="str">
        <f t="shared" si="142"/>
        <v>0.999802687482227+0.0183736164592734i</v>
      </c>
      <c r="AA267" s="160">
        <f t="shared" si="153"/>
        <v>0.99997150143315383</v>
      </c>
      <c r="AB267" s="160">
        <f t="shared" si="154"/>
        <v>1.8375174132287453E-2</v>
      </c>
      <c r="AC267" s="171" t="e">
        <f t="shared" si="155"/>
        <v>#DIV/0!</v>
      </c>
      <c r="AD267" s="190" t="e">
        <f t="shared" si="156"/>
        <v>#DIV/0!</v>
      </c>
      <c r="AE267" s="169" t="e">
        <f t="shared" si="157"/>
        <v>#DIV/0!</v>
      </c>
      <c r="AF267" s="98" t="str">
        <f t="shared" si="143"/>
        <v>-0.0000182926829268293</v>
      </c>
      <c r="AG267" s="98" t="str">
        <f t="shared" si="144"/>
        <v>0.00043144349258951i</v>
      </c>
      <c r="AH267" s="98">
        <f t="shared" si="158"/>
        <v>4.3144349258950998E-4</v>
      </c>
      <c r="AI267" s="98">
        <f t="shared" si="159"/>
        <v>1.5707963267948966</v>
      </c>
      <c r="AJ267" s="98" t="str">
        <f t="shared" si="145"/>
        <v>1+0.0422942351327821i</v>
      </c>
      <c r="AK267" s="98">
        <f t="shared" si="160"/>
        <v>1.0008940015433538</v>
      </c>
      <c r="AL267" s="98">
        <f t="shared" si="161"/>
        <v>4.226904348959519E-2</v>
      </c>
      <c r="AM267" s="98" t="str">
        <f t="shared" si="146"/>
        <v>1+4.27171774841099i</v>
      </c>
      <c r="AN267" s="98">
        <f t="shared" si="162"/>
        <v>4.387205548192318</v>
      </c>
      <c r="AO267" s="98">
        <f t="shared" si="163"/>
        <v>1.3408394609760179</v>
      </c>
      <c r="AP267" s="168" t="str">
        <f t="shared" si="164"/>
        <v>-0.179002248423997+0.0499695552415603i</v>
      </c>
      <c r="AQ267" s="98">
        <f t="shared" si="165"/>
        <v>-14.616932408946305</v>
      </c>
      <c r="AR267" s="169">
        <f t="shared" si="166"/>
        <v>164.40260432251335</v>
      </c>
      <c r="AS267" s="168" t="e">
        <f t="shared" si="167"/>
        <v>#DIV/0!</v>
      </c>
      <c r="AT267" s="190" t="e">
        <f t="shared" si="168"/>
        <v>#DIV/0!</v>
      </c>
      <c r="AU267" s="169" t="e">
        <f t="shared" si="169"/>
        <v>#DIV/0!</v>
      </c>
      <c r="AV267" s="225"/>
      <c r="AX267" t="e">
        <f t="shared" si="170"/>
        <v>#DIV/0!</v>
      </c>
      <c r="AY267" t="e">
        <f t="shared" si="171"/>
        <v>#DIV/0!</v>
      </c>
    </row>
    <row r="268" spans="14:51" x14ac:dyDescent="0.25">
      <c r="N268" s="170">
        <v>50</v>
      </c>
      <c r="O268" s="199">
        <f t="shared" si="172"/>
        <v>3162.2776601683804</v>
      </c>
      <c r="P268" s="189" t="str">
        <f t="shared" si="138"/>
        <v>290</v>
      </c>
      <c r="Q268" s="160" t="e">
        <f t="shared" si="139"/>
        <v>#DIV/0!</v>
      </c>
      <c r="R268" s="160" t="e">
        <f t="shared" si="147"/>
        <v>#DIV/0!</v>
      </c>
      <c r="S268" s="160" t="e">
        <f t="shared" si="148"/>
        <v>#DIV/0!</v>
      </c>
      <c r="T268" s="160" t="e">
        <f t="shared" si="140"/>
        <v>#DIV/0!</v>
      </c>
      <c r="U268" s="160" t="e">
        <f t="shared" si="149"/>
        <v>#DIV/0!</v>
      </c>
      <c r="V268" s="160" t="e">
        <f t="shared" si="150"/>
        <v>#DIV/0!</v>
      </c>
      <c r="W268" s="98" t="str">
        <f t="shared" si="141"/>
        <v>1-0.158332500486126i</v>
      </c>
      <c r="X268" s="160">
        <f t="shared" si="151"/>
        <v>1.0124570019068411</v>
      </c>
      <c r="Y268" s="160">
        <f t="shared" si="152"/>
        <v>-0.15702896349281251</v>
      </c>
      <c r="Z268" s="98" t="str">
        <f t="shared" si="142"/>
        <v>0.999793388429752+0.0188015929656288i</v>
      </c>
      <c r="AA268" s="160">
        <f t="shared" si="153"/>
        <v>0.9999701592777106</v>
      </c>
      <c r="AB268" s="160">
        <f t="shared" si="154"/>
        <v>1.8803262037798904E-2</v>
      </c>
      <c r="AC268" s="171" t="e">
        <f t="shared" si="155"/>
        <v>#DIV/0!</v>
      </c>
      <c r="AD268" s="190" t="e">
        <f t="shared" si="156"/>
        <v>#DIV/0!</v>
      </c>
      <c r="AE268" s="169" t="e">
        <f t="shared" si="157"/>
        <v>#DIV/0!</v>
      </c>
      <c r="AF268" s="98" t="str">
        <f t="shared" si="143"/>
        <v>-0.0000182926829268293</v>
      </c>
      <c r="AG268" s="98" t="str">
        <f t="shared" si="144"/>
        <v>0.000441493102531979i</v>
      </c>
      <c r="AH268" s="98">
        <f t="shared" si="158"/>
        <v>4.41493102531979E-4</v>
      </c>
      <c r="AI268" s="98">
        <f t="shared" si="159"/>
        <v>1.5707963267948966</v>
      </c>
      <c r="AJ268" s="98" t="str">
        <f t="shared" si="145"/>
        <v>1+0.0432793944252503i</v>
      </c>
      <c r="AK268" s="98">
        <f t="shared" si="160"/>
        <v>1.0009361148354157</v>
      </c>
      <c r="AL268" s="98">
        <f t="shared" si="161"/>
        <v>4.3252402456524397E-2</v>
      </c>
      <c r="AM268" s="98" t="str">
        <f t="shared" si="146"/>
        <v>1+4.37121883695028i</v>
      </c>
      <c r="AN268" s="98">
        <f t="shared" si="162"/>
        <v>4.4841447479434651</v>
      </c>
      <c r="AO268" s="98">
        <f t="shared" si="163"/>
        <v>1.3458972659373649</v>
      </c>
      <c r="AP268" s="168" t="str">
        <f t="shared" si="164"/>
        <v>-0.178987186093302+0.0491801347460734i</v>
      </c>
      <c r="AQ268" s="98">
        <f t="shared" si="165"/>
        <v>-14.627465049552779</v>
      </c>
      <c r="AR268" s="169">
        <f t="shared" si="166"/>
        <v>164.63605288184746</v>
      </c>
      <c r="AS268" s="168" t="e">
        <f t="shared" si="167"/>
        <v>#DIV/0!</v>
      </c>
      <c r="AT268" s="190" t="e">
        <f t="shared" si="168"/>
        <v>#DIV/0!</v>
      </c>
      <c r="AU268" s="169" t="e">
        <f t="shared" si="169"/>
        <v>#DIV/0!</v>
      </c>
      <c r="AV268" s="225"/>
      <c r="AX268" t="e">
        <f t="shared" si="170"/>
        <v>#DIV/0!</v>
      </c>
      <c r="AY268" t="e">
        <f t="shared" si="171"/>
        <v>#DIV/0!</v>
      </c>
    </row>
    <row r="269" spans="14:51" x14ac:dyDescent="0.25">
      <c r="N269" s="170">
        <v>51</v>
      </c>
      <c r="O269" s="199">
        <f t="shared" si="172"/>
        <v>3235.9365692962833</v>
      </c>
      <c r="P269" s="189" t="str">
        <f t="shared" si="138"/>
        <v>290</v>
      </c>
      <c r="Q269" s="160" t="e">
        <f t="shared" si="139"/>
        <v>#DIV/0!</v>
      </c>
      <c r="R269" s="160" t="e">
        <f t="shared" si="147"/>
        <v>#DIV/0!</v>
      </c>
      <c r="S269" s="160" t="e">
        <f t="shared" si="148"/>
        <v>#DIV/0!</v>
      </c>
      <c r="T269" s="160" t="e">
        <f t="shared" si="140"/>
        <v>#DIV/0!</v>
      </c>
      <c r="U269" s="160" t="e">
        <f t="shared" si="149"/>
        <v>#DIV/0!</v>
      </c>
      <c r="V269" s="160" t="e">
        <f t="shared" si="150"/>
        <v>#DIV/0!</v>
      </c>
      <c r="W269" s="98" t="str">
        <f t="shared" si="141"/>
        <v>1-0.162020538197742i</v>
      </c>
      <c r="X269" s="160">
        <f t="shared" si="151"/>
        <v>1.0130403026523112</v>
      </c>
      <c r="Y269" s="160">
        <f t="shared" si="152"/>
        <v>-0.16062474237330995</v>
      </c>
      <c r="Z269" s="98" t="str">
        <f t="shared" si="142"/>
        <v>0.999783651126436+0.0192395383254431i</v>
      </c>
      <c r="AA269" s="160">
        <f t="shared" si="153"/>
        <v>0.99996875395918405</v>
      </c>
      <c r="AB269" s="160">
        <f t="shared" si="154"/>
        <v>1.9241326763405887E-2</v>
      </c>
      <c r="AC269" s="171" t="e">
        <f t="shared" si="155"/>
        <v>#DIV/0!</v>
      </c>
      <c r="AD269" s="190" t="e">
        <f t="shared" si="156"/>
        <v>#DIV/0!</v>
      </c>
      <c r="AE269" s="169" t="e">
        <f t="shared" si="157"/>
        <v>#DIV/0!</v>
      </c>
      <c r="AF269" s="98" t="str">
        <f t="shared" si="143"/>
        <v>-0.0000182926829268293</v>
      </c>
      <c r="AG269" s="98" t="str">
        <f t="shared" si="144"/>
        <v>0.000451776797961262i</v>
      </c>
      <c r="AH269" s="98">
        <f t="shared" si="158"/>
        <v>4.5177679796126199E-4</v>
      </c>
      <c r="AI269" s="98">
        <f t="shared" si="159"/>
        <v>1.5707963267948966</v>
      </c>
      <c r="AJ269" s="98" t="str">
        <f t="shared" si="145"/>
        <v>1+0.0442875010255134i</v>
      </c>
      <c r="AK269" s="98">
        <f t="shared" si="160"/>
        <v>1.0009802109667727</v>
      </c>
      <c r="AL269" s="98">
        <f t="shared" si="161"/>
        <v>4.4258580139373775E-2</v>
      </c>
      <c r="AM269" s="98" t="str">
        <f t="shared" si="146"/>
        <v>1+4.47303760357685i</v>
      </c>
      <c r="AN269" s="98">
        <f t="shared" si="162"/>
        <v>4.5834556180912811</v>
      </c>
      <c r="AO269" s="98">
        <f t="shared" si="163"/>
        <v>1.350851276803283</v>
      </c>
      <c r="AP269" s="168" t="str">
        <f t="shared" si="164"/>
        <v>-0.178971416613475+0.0484167288679067i</v>
      </c>
      <c r="AQ269" s="98">
        <f t="shared" si="165"/>
        <v>-14.637579551987681</v>
      </c>
      <c r="AR269" s="169">
        <f t="shared" si="166"/>
        <v>164.86224706145902</v>
      </c>
      <c r="AS269" s="168" t="e">
        <f t="shared" si="167"/>
        <v>#DIV/0!</v>
      </c>
      <c r="AT269" s="190" t="e">
        <f t="shared" si="168"/>
        <v>#DIV/0!</v>
      </c>
      <c r="AU269" s="169" t="e">
        <f t="shared" si="169"/>
        <v>#DIV/0!</v>
      </c>
      <c r="AV269" s="225"/>
      <c r="AX269" t="e">
        <f t="shared" si="170"/>
        <v>#DIV/0!</v>
      </c>
      <c r="AY269" t="e">
        <f t="shared" si="171"/>
        <v>#DIV/0!</v>
      </c>
    </row>
    <row r="270" spans="14:51" x14ac:dyDescent="0.25">
      <c r="N270" s="170">
        <v>52</v>
      </c>
      <c r="O270" s="199">
        <f t="shared" si="172"/>
        <v>3311.3112148259115</v>
      </c>
      <c r="P270" s="189" t="str">
        <f t="shared" si="138"/>
        <v>290</v>
      </c>
      <c r="Q270" s="160" t="e">
        <f t="shared" si="139"/>
        <v>#DIV/0!</v>
      </c>
      <c r="R270" s="160" t="e">
        <f t="shared" si="147"/>
        <v>#DIV/0!</v>
      </c>
      <c r="S270" s="160" t="e">
        <f t="shared" si="148"/>
        <v>#DIV/0!</v>
      </c>
      <c r="T270" s="160" t="e">
        <f t="shared" si="140"/>
        <v>#DIV/0!</v>
      </c>
      <c r="U270" s="160" t="e">
        <f t="shared" si="149"/>
        <v>#DIV/0!</v>
      </c>
      <c r="V270" s="160" t="e">
        <f t="shared" si="150"/>
        <v>#DIV/0!</v>
      </c>
      <c r="W270" s="98" t="str">
        <f t="shared" si="141"/>
        <v>1-0.165794481343306i</v>
      </c>
      <c r="X270" s="160">
        <f t="shared" si="151"/>
        <v>1.0136507337559104</v>
      </c>
      <c r="Y270" s="160">
        <f t="shared" si="152"/>
        <v>-0.16429994483045679</v>
      </c>
      <c r="Z270" s="98" t="str">
        <f t="shared" si="142"/>
        <v>0.999773454918152+0.019687684743143i</v>
      </c>
      <c r="AA270" s="160">
        <f t="shared" si="153"/>
        <v>0.99996728250954459</v>
      </c>
      <c r="AB270" s="160">
        <f t="shared" si="154"/>
        <v>1.9689601083235871E-2</v>
      </c>
      <c r="AC270" s="171" t="e">
        <f>(IMDIV(IMPRODUCT(P270,T270,W270),IMPRODUCT(Q270,Z270)))</f>
        <v>#DIV/0!</v>
      </c>
      <c r="AD270" s="190" t="e">
        <f t="shared" si="156"/>
        <v>#DIV/0!</v>
      </c>
      <c r="AE270" s="169" t="e">
        <f t="shared" si="157"/>
        <v>#DIV/0!</v>
      </c>
      <c r="AF270" s="98" t="str">
        <f t="shared" si="143"/>
        <v>-0.0000182926829268293</v>
      </c>
      <c r="AG270" s="98" t="str">
        <f t="shared" si="144"/>
        <v>0.000462300031428798i</v>
      </c>
      <c r="AH270" s="98">
        <f t="shared" si="158"/>
        <v>4.62300031428798E-4</v>
      </c>
      <c r="AI270" s="98">
        <f t="shared" si="159"/>
        <v>1.5707963267948966</v>
      </c>
      <c r="AJ270" s="98" t="str">
        <f t="shared" si="145"/>
        <v>1+0.0453190894450347i</v>
      </c>
      <c r="AK270" s="98">
        <f t="shared" si="160"/>
        <v>1.0010263832028239</v>
      </c>
      <c r="AL270" s="98">
        <f t="shared" si="161"/>
        <v>4.5288101873046452E-2</v>
      </c>
      <c r="AM270" s="98" t="str">
        <f t="shared" si="146"/>
        <v>1+4.5772280339485i</v>
      </c>
      <c r="AN270" s="98">
        <f t="shared" si="162"/>
        <v>4.685191188709811</v>
      </c>
      <c r="AO270" s="98">
        <f t="shared" si="163"/>
        <v>1.3557031471570222</v>
      </c>
      <c r="AP270" s="168" t="str">
        <f t="shared" si="164"/>
        <v>-0.178954906918913+0.0476789284694699i</v>
      </c>
      <c r="AQ270" s="98">
        <f t="shared" si="165"/>
        <v>-14.647294448028843</v>
      </c>
      <c r="AR270" s="169">
        <f t="shared" si="166"/>
        <v>165.08125150521641</v>
      </c>
      <c r="AS270" s="168" t="e">
        <f t="shared" si="167"/>
        <v>#DIV/0!</v>
      </c>
      <c r="AT270" s="190" t="e">
        <f t="shared" si="168"/>
        <v>#DIV/0!</v>
      </c>
      <c r="AU270" s="169" t="e">
        <f t="shared" si="169"/>
        <v>#DIV/0!</v>
      </c>
      <c r="AV270" s="225"/>
      <c r="AX270" t="e">
        <f t="shared" si="170"/>
        <v>#DIV/0!</v>
      </c>
      <c r="AY270" t="e">
        <f t="shared" si="171"/>
        <v>#DIV/0!</v>
      </c>
    </row>
    <row r="271" spans="14:51" x14ac:dyDescent="0.25">
      <c r="N271" s="170">
        <v>53</v>
      </c>
      <c r="O271" s="199">
        <f t="shared" si="172"/>
        <v>3388.4415613920314</v>
      </c>
      <c r="P271" s="189" t="str">
        <f t="shared" si="138"/>
        <v>290</v>
      </c>
      <c r="Q271" s="160" t="e">
        <f t="shared" si="139"/>
        <v>#DIV/0!</v>
      </c>
      <c r="R271" s="160" t="e">
        <f t="shared" si="147"/>
        <v>#DIV/0!</v>
      </c>
      <c r="S271" s="160" t="e">
        <f t="shared" si="148"/>
        <v>#DIV/0!</v>
      </c>
      <c r="T271" s="160" t="e">
        <f t="shared" si="140"/>
        <v>#DIV/0!</v>
      </c>
      <c r="U271" s="160" t="e">
        <f t="shared" si="149"/>
        <v>#DIV/0!</v>
      </c>
      <c r="V271" s="160" t="e">
        <f t="shared" si="150"/>
        <v>#DIV/0!</v>
      </c>
      <c r="W271" s="98" t="str">
        <f t="shared" si="141"/>
        <v>1-0.169656330917427i</v>
      </c>
      <c r="X271" s="160">
        <f t="shared" si="151"/>
        <v>1.014289539835822</v>
      </c>
      <c r="Y271" s="160">
        <f t="shared" si="152"/>
        <v>-0.16805612217293106</v>
      </c>
      <c r="Z271" s="98" t="str">
        <f t="shared" si="142"/>
        <v>0.999762778177377+0.0201462698318909i</v>
      </c>
      <c r="AA271" s="160">
        <f t="shared" si="153"/>
        <v>0.99996574182173192</v>
      </c>
      <c r="AB271" s="160">
        <f t="shared" si="154"/>
        <v>2.014832322088831E-2</v>
      </c>
      <c r="AC271" s="171" t="e">
        <f t="shared" si="155"/>
        <v>#DIV/0!</v>
      </c>
      <c r="AD271" s="190" t="e">
        <f t="shared" si="156"/>
        <v>#DIV/0!</v>
      </c>
      <c r="AE271" s="169" t="e">
        <f t="shared" si="157"/>
        <v>#DIV/0!</v>
      </c>
      <c r="AF271" s="98" t="str">
        <f t="shared" si="143"/>
        <v>-0.0000182926829268293</v>
      </c>
      <c r="AG271" s="98" t="str">
        <f t="shared" si="144"/>
        <v>0.000473068382492262i</v>
      </c>
      <c r="AH271" s="98">
        <f t="shared" si="158"/>
        <v>4.7306838249226198E-4</v>
      </c>
      <c r="AI271" s="98">
        <f t="shared" si="159"/>
        <v>1.5707963267948966</v>
      </c>
      <c r="AJ271" s="98" t="str">
        <f t="shared" si="145"/>
        <v>1+0.0463747066456487i</v>
      </c>
      <c r="AK271" s="98">
        <f t="shared" si="160"/>
        <v>1.0010747291868225</v>
      </c>
      <c r="AL271" s="98">
        <f t="shared" si="161"/>
        <v>4.6341504788979596E-2</v>
      </c>
      <c r="AM271" s="98" t="str">
        <f t="shared" si="146"/>
        <v>1+4.68384537121052i</v>
      </c>
      <c r="AN271" s="98">
        <f t="shared" si="162"/>
        <v>4.7894057524300671</v>
      </c>
      <c r="AO271" s="98">
        <f t="shared" si="163"/>
        <v>1.3604545353778659</v>
      </c>
      <c r="AP271" s="168" t="str">
        <f t="shared" si="164"/>
        <v>-0.178937622410774+0.0469663376791331i</v>
      </c>
      <c r="AQ271" s="98">
        <f t="shared" si="165"/>
        <v>-14.656627662564203</v>
      </c>
      <c r="AR271" s="169">
        <f t="shared" si="166"/>
        <v>165.29313045588916</v>
      </c>
      <c r="AS271" s="168" t="e">
        <f t="shared" si="167"/>
        <v>#DIV/0!</v>
      </c>
      <c r="AT271" s="190" t="e">
        <f t="shared" si="168"/>
        <v>#DIV/0!</v>
      </c>
      <c r="AU271" s="169" t="e">
        <f t="shared" si="169"/>
        <v>#DIV/0!</v>
      </c>
      <c r="AV271" s="225"/>
      <c r="AX271" t="e">
        <f t="shared" si="170"/>
        <v>#DIV/0!</v>
      </c>
      <c r="AY271" t="e">
        <f t="shared" si="171"/>
        <v>#DIV/0!</v>
      </c>
    </row>
    <row r="272" spans="14:51" x14ac:dyDescent="0.25">
      <c r="N272" s="170">
        <v>54</v>
      </c>
      <c r="O272" s="199">
        <f t="shared" si="172"/>
        <v>3467.3685045253224</v>
      </c>
      <c r="P272" s="189" t="str">
        <f t="shared" si="138"/>
        <v>290</v>
      </c>
      <c r="Q272" s="160" t="e">
        <f t="shared" si="139"/>
        <v>#DIV/0!</v>
      </c>
      <c r="R272" s="160" t="e">
        <f t="shared" si="147"/>
        <v>#DIV/0!</v>
      </c>
      <c r="S272" s="160" t="e">
        <f t="shared" si="148"/>
        <v>#DIV/0!</v>
      </c>
      <c r="T272" s="160" t="e">
        <f t="shared" si="140"/>
        <v>#DIV/0!</v>
      </c>
      <c r="U272" s="160" t="e">
        <f t="shared" si="149"/>
        <v>#DIV/0!</v>
      </c>
      <c r="V272" s="160" t="e">
        <f t="shared" si="150"/>
        <v>#DIV/0!</v>
      </c>
      <c r="W272" s="98" t="str">
        <f t="shared" si="141"/>
        <v>1-0.173608134523868i</v>
      </c>
      <c r="X272" s="160">
        <f t="shared" si="151"/>
        <v>1.0149580209904534</v>
      </c>
      <c r="Y272" s="160">
        <f t="shared" si="152"/>
        <v>-0.1718948417987565</v>
      </c>
      <c r="Z272" s="98" t="str">
        <f t="shared" si="142"/>
        <v>0.99975159825731+0.0206155367395711i</v>
      </c>
      <c r="AA272" s="160">
        <f t="shared" si="153"/>
        <v>0.99996412864317596</v>
      </c>
      <c r="AB272" s="160">
        <f t="shared" si="154"/>
        <v>2.0617736978333415E-2</v>
      </c>
      <c r="AC272" s="171" t="e">
        <f t="shared" si="155"/>
        <v>#DIV/0!</v>
      </c>
      <c r="AD272" s="190" t="e">
        <f t="shared" si="156"/>
        <v>#DIV/0!</v>
      </c>
      <c r="AE272" s="169" t="e">
        <f t="shared" si="157"/>
        <v>#DIV/0!</v>
      </c>
      <c r="AF272" s="98" t="str">
        <f t="shared" si="143"/>
        <v>-0.0000182926829268293</v>
      </c>
      <c r="AG272" s="98" t="str">
        <f t="shared" si="144"/>
        <v>0.000484087560673923i</v>
      </c>
      <c r="AH272" s="98">
        <f t="shared" si="158"/>
        <v>4.8408756067392299E-4</v>
      </c>
      <c r="AI272" s="98">
        <f t="shared" si="159"/>
        <v>1.5707963267948966</v>
      </c>
      <c r="AJ272" s="98" t="str">
        <f t="shared" si="145"/>
        <v>1+0.0474549123295681i</v>
      </c>
      <c r="AK272" s="98">
        <f t="shared" si="160"/>
        <v>1.0011253511445044</v>
      </c>
      <c r="AL272" s="98">
        <f t="shared" si="161"/>
        <v>4.7419338058689135E-2</v>
      </c>
      <c r="AM272" s="98" t="str">
        <f t="shared" si="146"/>
        <v>1+4.79294614528637i</v>
      </c>
      <c r="AN272" s="98">
        <f t="shared" si="162"/>
        <v>4.8961548945693565</v>
      </c>
      <c r="AO272" s="98">
        <f t="shared" si="163"/>
        <v>1.3651071021917458</v>
      </c>
      <c r="AP272" s="168" t="str">
        <f t="shared" si="164"/>
        <v>-0.178919526887121+0.0462785736593886i</v>
      </c>
      <c r="AQ272" s="98">
        <f t="shared" si="165"/>
        <v>-14.665596532246868</v>
      </c>
      <c r="AR272" s="169">
        <f t="shared" si="166"/>
        <v>165.49794760085405</v>
      </c>
      <c r="AS272" s="168" t="e">
        <f t="shared" si="167"/>
        <v>#DIV/0!</v>
      </c>
      <c r="AT272" s="190" t="e">
        <f t="shared" si="168"/>
        <v>#DIV/0!</v>
      </c>
      <c r="AU272" s="169" t="e">
        <f t="shared" si="169"/>
        <v>#DIV/0!</v>
      </c>
      <c r="AV272" s="225"/>
      <c r="AX272" t="e">
        <f t="shared" si="170"/>
        <v>#DIV/0!</v>
      </c>
      <c r="AY272" t="e">
        <f t="shared" si="171"/>
        <v>#DIV/0!</v>
      </c>
    </row>
    <row r="273" spans="14:51" x14ac:dyDescent="0.25">
      <c r="N273" s="170">
        <v>55</v>
      </c>
      <c r="O273" s="199">
        <f t="shared" si="172"/>
        <v>3548.1338923357539</v>
      </c>
      <c r="P273" s="189" t="str">
        <f t="shared" si="138"/>
        <v>290</v>
      </c>
      <c r="Q273" s="160" t="e">
        <f t="shared" si="139"/>
        <v>#DIV/0!</v>
      </c>
      <c r="R273" s="160" t="e">
        <f t="shared" si="147"/>
        <v>#DIV/0!</v>
      </c>
      <c r="S273" s="160" t="e">
        <f t="shared" si="148"/>
        <v>#DIV/0!</v>
      </c>
      <c r="T273" s="160" t="e">
        <f t="shared" si="140"/>
        <v>#DIV/0!</v>
      </c>
      <c r="U273" s="160" t="e">
        <f t="shared" si="149"/>
        <v>#DIV/0!</v>
      </c>
      <c r="V273" s="160" t="e">
        <f t="shared" si="150"/>
        <v>#DIV/0!</v>
      </c>
      <c r="W273" s="98" t="str">
        <f t="shared" si="141"/>
        <v>1-0.177651987461208i</v>
      </c>
      <c r="X273" s="160">
        <f t="shared" si="151"/>
        <v>1.0156575351214194</v>
      </c>
      <c r="Y273" s="160">
        <f t="shared" si="152"/>
        <v>-0.17581768628941294</v>
      </c>
      <c r="Z273" s="98" t="str">
        <f t="shared" si="142"/>
        <v>0.999739891443844+0.0210957342777095i</v>
      </c>
      <c r="AA273" s="160">
        <f t="shared" si="153"/>
        <v>0.99996243956903941</v>
      </c>
      <c r="AB273" s="160">
        <f t="shared" si="154"/>
        <v>2.1098091867952286E-2</v>
      </c>
      <c r="AC273" s="171" t="e">
        <f t="shared" si="155"/>
        <v>#DIV/0!</v>
      </c>
      <c r="AD273" s="190" t="e">
        <f t="shared" si="156"/>
        <v>#DIV/0!</v>
      </c>
      <c r="AE273" s="169" t="e">
        <f t="shared" si="157"/>
        <v>#DIV/0!</v>
      </c>
      <c r="AF273" s="98" t="str">
        <f t="shared" si="143"/>
        <v>-0.0000182926829268293</v>
      </c>
      <c r="AG273" s="98" t="str">
        <f t="shared" si="144"/>
        <v>0.000495363408487909i</v>
      </c>
      <c r="AH273" s="98">
        <f t="shared" si="158"/>
        <v>4.9536340848790905E-4</v>
      </c>
      <c r="AI273" s="98">
        <f t="shared" si="159"/>
        <v>1.5707963267948966</v>
      </c>
      <c r="AJ273" s="98" t="str">
        <f t="shared" si="145"/>
        <v>1+0.0485602792361443i</v>
      </c>
      <c r="AK273" s="98">
        <f t="shared" si="160"/>
        <v>1.0011783560981991</v>
      </c>
      <c r="AL273" s="98">
        <f t="shared" si="161"/>
        <v>4.8522163140781394E-2</v>
      </c>
      <c r="AM273" s="98" t="str">
        <f t="shared" si="146"/>
        <v>1+4.90458820285057i</v>
      </c>
      <c r="AN273" s="98">
        <f t="shared" si="162"/>
        <v>5.0054955238758305</v>
      </c>
      <c r="AO273" s="98">
        <f t="shared" si="163"/>
        <v>1.3696625083858149</v>
      </c>
      <c r="AP273" s="168" t="str">
        <f t="shared" si="164"/>
        <v>-0.178900582470001+0.0456152663803834i</v>
      </c>
      <c r="AQ273" s="98">
        <f t="shared" si="165"/>
        <v>-14.674217824371222</v>
      </c>
      <c r="AR273" s="169">
        <f t="shared" si="166"/>
        <v>165.69576592699684</v>
      </c>
      <c r="AS273" s="168" t="e">
        <f t="shared" si="167"/>
        <v>#DIV/0!</v>
      </c>
      <c r="AT273" s="190" t="e">
        <f t="shared" si="168"/>
        <v>#DIV/0!</v>
      </c>
      <c r="AU273" s="169" t="e">
        <f t="shared" si="169"/>
        <v>#DIV/0!</v>
      </c>
      <c r="AV273" s="225"/>
      <c r="AX273" t="e">
        <f t="shared" si="170"/>
        <v>#DIV/0!</v>
      </c>
      <c r="AY273" t="e">
        <f t="shared" si="171"/>
        <v>#DIV/0!</v>
      </c>
    </row>
    <row r="274" spans="14:51" x14ac:dyDescent="0.25">
      <c r="N274" s="170">
        <v>56</v>
      </c>
      <c r="O274" s="199">
        <f t="shared" si="172"/>
        <v>3630.7805477010188</v>
      </c>
      <c r="P274" s="189" t="str">
        <f t="shared" si="138"/>
        <v>290</v>
      </c>
      <c r="Q274" s="160" t="e">
        <f t="shared" si="139"/>
        <v>#DIV/0!</v>
      </c>
      <c r="R274" s="160" t="e">
        <f t="shared" si="147"/>
        <v>#DIV/0!</v>
      </c>
      <c r="S274" s="160" t="e">
        <f t="shared" si="148"/>
        <v>#DIV/0!</v>
      </c>
      <c r="T274" s="160" t="e">
        <f t="shared" si="140"/>
        <v>#DIV/0!</v>
      </c>
      <c r="U274" s="160" t="e">
        <f t="shared" si="149"/>
        <v>#DIV/0!</v>
      </c>
      <c r="V274" s="160" t="e">
        <f t="shared" si="150"/>
        <v>#DIV/0!</v>
      </c>
      <c r="W274" s="98" t="str">
        <f t="shared" si="141"/>
        <v>1-0.181790033833803i</v>
      </c>
      <c r="X274" s="160">
        <f t="shared" si="151"/>
        <v>1.016389500339951</v>
      </c>
      <c r="Y274" s="160">
        <f t="shared" si="152"/>
        <v>-0.17982625240862155</v>
      </c>
      <c r="Z274" s="98" t="str">
        <f t="shared" si="142"/>
        <v>0.999727632905257+0.0215871170533971i</v>
      </c>
      <c r="AA274" s="160">
        <f t="shared" si="153"/>
        <v>0.99996067103512887</v>
      </c>
      <c r="AB274" s="160">
        <f t="shared" si="154"/>
        <v>2.1589643247804213E-2</v>
      </c>
      <c r="AC274" s="171" t="e">
        <f t="shared" si="155"/>
        <v>#DIV/0!</v>
      </c>
      <c r="AD274" s="190" t="e">
        <f t="shared" si="156"/>
        <v>#DIV/0!</v>
      </c>
      <c r="AE274" s="169" t="e">
        <f t="shared" si="157"/>
        <v>#DIV/0!</v>
      </c>
      <c r="AF274" s="98" t="str">
        <f t="shared" si="143"/>
        <v>-0.0000182926829268293</v>
      </c>
      <c r="AG274" s="98" t="str">
        <f t="shared" si="144"/>
        <v>0.000506901904537987i</v>
      </c>
      <c r="AH274" s="98">
        <f t="shared" si="158"/>
        <v>5.0690190453798697E-4</v>
      </c>
      <c r="AI274" s="98">
        <f t="shared" si="159"/>
        <v>1.5707963267948966</v>
      </c>
      <c r="AJ274" s="98" t="str">
        <f t="shared" si="145"/>
        <v>1+0.0496913934455433i</v>
      </c>
      <c r="AK274" s="98">
        <f t="shared" si="160"/>
        <v>1.0012338560908536</v>
      </c>
      <c r="AL274" s="98">
        <f t="shared" si="161"/>
        <v>4.9650554031362856E-2</v>
      </c>
      <c r="AM274" s="98" t="str">
        <f t="shared" si="146"/>
        <v>1+5.01883073799987i</v>
      </c>
      <c r="AN274" s="98">
        <f t="shared" si="162"/>
        <v>5.1174859039075349</v>
      </c>
      <c r="AO274" s="98">
        <f t="shared" si="163"/>
        <v>1.3741224126804834</v>
      </c>
      <c r="AP274" s="168" t="str">
        <f t="shared" si="164"/>
        <v>-0.17888074952935+0.0449760583985988i</v>
      </c>
      <c r="AQ274" s="98">
        <f t="shared" si="165"/>
        <v>-14.682507755906132</v>
      </c>
      <c r="AR274" s="169">
        <f t="shared" si="166"/>
        <v>165.88664758444239</v>
      </c>
      <c r="AS274" s="168" t="e">
        <f t="shared" si="167"/>
        <v>#DIV/0!</v>
      </c>
      <c r="AT274" s="190" t="e">
        <f t="shared" si="168"/>
        <v>#DIV/0!</v>
      </c>
      <c r="AU274" s="169" t="e">
        <f t="shared" si="169"/>
        <v>#DIV/0!</v>
      </c>
      <c r="AV274" s="225"/>
      <c r="AX274" t="e">
        <f t="shared" si="170"/>
        <v>#DIV/0!</v>
      </c>
      <c r="AY274" t="e">
        <f t="shared" si="171"/>
        <v>#DIV/0!</v>
      </c>
    </row>
    <row r="275" spans="14:51" x14ac:dyDescent="0.25">
      <c r="N275" s="170">
        <v>57</v>
      </c>
      <c r="O275" s="199">
        <f t="shared" si="172"/>
        <v>3715.352290971724</v>
      </c>
      <c r="P275" s="189" t="str">
        <f t="shared" ref="P275:P338" si="173">COMPLEX(Adc,0)</f>
        <v>290</v>
      </c>
      <c r="Q275" s="160" t="e">
        <f t="shared" ref="Q275:Q338" si="174">IMSUM(COMPLEX(1,0),IMDIV(COMPLEX(0,2*PI()*O275),COMPLEX(wp_lf,0)))</f>
        <v>#DIV/0!</v>
      </c>
      <c r="R275" s="160" t="e">
        <f t="shared" si="147"/>
        <v>#DIV/0!</v>
      </c>
      <c r="S275" s="160" t="e">
        <f t="shared" si="148"/>
        <v>#DIV/0!</v>
      </c>
      <c r="T275" s="160" t="e">
        <f t="shared" ref="T275:T338" si="175">IMSUM(COMPLEX(1,0),IMDIV(COMPLEX(0,2*PI()*O275),COMPLEX(wz_esr,0)))</f>
        <v>#DIV/0!</v>
      </c>
      <c r="U275" s="160" t="e">
        <f t="shared" si="149"/>
        <v>#DIV/0!</v>
      </c>
      <c r="V275" s="160" t="e">
        <f t="shared" si="150"/>
        <v>#DIV/0!</v>
      </c>
      <c r="W275" s="98" t="str">
        <f t="shared" ref="W275:W338" si="176">IMSUB(COMPLEX(1,0),IMDIV(COMPLEX(0,2*PI()*O275),COMPLEX(wz_rhp,0)))</f>
        <v>1-0.186024467688611i</v>
      </c>
      <c r="X275" s="160">
        <f t="shared" si="151"/>
        <v>1.0171553974584371</v>
      </c>
      <c r="Y275" s="160">
        <f t="shared" si="152"/>
        <v>-0.18392215000015372</v>
      </c>
      <c r="Z275" s="98" t="str">
        <f t="shared" ref="Z275:Z338" si="177">IF(Dc_Mode_Loop="CCM",IMSUM(COMPLEX(1,0),IMDIV(COMPLEX(0,2*PI()*O275),COMPLEX(Q*(wsl/2),0)),IMDIV(IMPOWER(COMPLEX(0,2*PI()*O275),2),IMPOWER(COMPLEX(wsl/2,0),2))),COMPLEX(1,0))</f>
        <v>0.999714796639545+0.0220899456042856i</v>
      </c>
      <c r="AA275" s="160">
        <f t="shared" si="153"/>
        <v>0.99995881931049901</v>
      </c>
      <c r="AB275" s="160">
        <f t="shared" si="154"/>
        <v>2.209265246020482E-2</v>
      </c>
      <c r="AC275" s="171" t="e">
        <f t="shared" si="155"/>
        <v>#DIV/0!</v>
      </c>
      <c r="AD275" s="190" t="e">
        <f t="shared" si="156"/>
        <v>#DIV/0!</v>
      </c>
      <c r="AE275" s="169" t="e">
        <f t="shared" si="157"/>
        <v>#DIV/0!</v>
      </c>
      <c r="AF275" s="98" t="str">
        <f t="shared" ref="AF275:AF338" si="178">COMPLEX(Adc_ea,0)</f>
        <v>-0.0000182926829268293</v>
      </c>
      <c r="AG275" s="98" t="str">
        <f t="shared" ref="AG275:AG338" si="179">COMPLEX(0,2*PI()*O275*wp0_ea)</f>
        <v>0.000518709166687489i</v>
      </c>
      <c r="AH275" s="98">
        <f t="shared" si="158"/>
        <v>5.1870916668748902E-4</v>
      </c>
      <c r="AI275" s="98">
        <f t="shared" si="159"/>
        <v>1.5707963267948966</v>
      </c>
      <c r="AJ275" s="98" t="str">
        <f t="shared" ref="AJ275:AJ338" si="180">IMSUM(COMPLEX(1,0),IMDIV(COMPLEX(0,2*PI()*O275),COMPLEX(wp1_ea,0)))</f>
        <v>1+0.0508488546894902i</v>
      </c>
      <c r="AK275" s="98">
        <f t="shared" si="160"/>
        <v>1.0012919684204169</v>
      </c>
      <c r="AL275" s="98">
        <f t="shared" si="161"/>
        <v>5.0805097517754833E-2</v>
      </c>
      <c r="AM275" s="98" t="str">
        <f t="shared" ref="AM275:AM338" si="181">IMSUM(COMPLEX(1,0),IMDIV(COMPLEX(0,2*PI()*O275),COMPLEX(wz_ea,0)))</f>
        <v>1+5.13573432363851i</v>
      </c>
      <c r="AN275" s="98">
        <f t="shared" si="162"/>
        <v>5.2321856850649624</v>
      </c>
      <c r="AO275" s="98">
        <f t="shared" si="163"/>
        <v>1.3784884697523632</v>
      </c>
      <c r="AP275" s="168" t="str">
        <f t="shared" si="164"/>
        <v>-0.178859986603565+0.0443606046404458i</v>
      </c>
      <c r="AQ275" s="98">
        <f t="shared" si="165"/>
        <v>-14.690482012629612</v>
      </c>
      <c r="AR275" s="169">
        <f t="shared" si="166"/>
        <v>166.07065375873975</v>
      </c>
      <c r="AS275" s="168" t="e">
        <f t="shared" si="167"/>
        <v>#DIV/0!</v>
      </c>
      <c r="AT275" s="190" t="e">
        <f t="shared" si="168"/>
        <v>#DIV/0!</v>
      </c>
      <c r="AU275" s="169" t="e">
        <f t="shared" si="169"/>
        <v>#DIV/0!</v>
      </c>
      <c r="AV275" s="225"/>
      <c r="AX275" t="e">
        <f t="shared" si="170"/>
        <v>#DIV/0!</v>
      </c>
      <c r="AY275" t="e">
        <f t="shared" si="171"/>
        <v>#DIV/0!</v>
      </c>
    </row>
    <row r="276" spans="14:51" x14ac:dyDescent="0.25">
      <c r="N276" s="170">
        <v>58</v>
      </c>
      <c r="O276" s="199">
        <f t="shared" si="172"/>
        <v>3801.8939632056172</v>
      </c>
      <c r="P276" s="189" t="str">
        <f t="shared" si="173"/>
        <v>290</v>
      </c>
      <c r="Q276" s="160" t="e">
        <f t="shared" si="174"/>
        <v>#DIV/0!</v>
      </c>
      <c r="R276" s="160" t="e">
        <f t="shared" ref="R276:R339" si="182">IMABS(Q276)</f>
        <v>#DIV/0!</v>
      </c>
      <c r="S276" s="160" t="e">
        <f t="shared" ref="S276:S339" si="183">IMARGUMENT(Q276)</f>
        <v>#DIV/0!</v>
      </c>
      <c r="T276" s="160" t="e">
        <f t="shared" si="175"/>
        <v>#DIV/0!</v>
      </c>
      <c r="U276" s="160" t="e">
        <f t="shared" ref="U276:U339" si="184">IMABS(T276)</f>
        <v>#DIV/0!</v>
      </c>
      <c r="V276" s="160" t="e">
        <f t="shared" ref="V276:V339" si="185">IMARGUMENT(T276)</f>
        <v>#DIV/0!</v>
      </c>
      <c r="W276" s="98" t="str">
        <f t="shared" si="176"/>
        <v>1-0.190357534178514i</v>
      </c>
      <c r="X276" s="160">
        <f t="shared" ref="X276:X339" si="186">IMABS(W276)</f>
        <v>1.0179567725687197</v>
      </c>
      <c r="Y276" s="160">
        <f t="shared" ref="Y276:Y339" si="187">IMARGUMENT(W276)</f>
        <v>-0.18810700077888889</v>
      </c>
      <c r="Z276" s="98" t="str">
        <f t="shared" si="177"/>
        <v>0.999701355419267+0.0226044865367285i</v>
      </c>
      <c r="AA276" s="160">
        <f t="shared" ref="AA276:AA339" si="188">IMABS(Z276)</f>
        <v>0.99995688048970821</v>
      </c>
      <c r="AB276" s="160">
        <f t="shared" ref="AB276:AB339" si="189">IMARGUMENT(Z276)</f>
        <v>2.2607386973705852E-2</v>
      </c>
      <c r="AC276" s="171" t="e">
        <f t="shared" ref="AC276:AC339" si="190">(IMDIV(IMPRODUCT(P276,T276,W276),IMPRODUCT(Q276,Z276)))</f>
        <v>#DIV/0!</v>
      </c>
      <c r="AD276" s="190" t="e">
        <f t="shared" ref="AD276:AD339" si="191">20*LOG(IMABS(AC276))</f>
        <v>#DIV/0!</v>
      </c>
      <c r="AE276" s="169" t="e">
        <f t="shared" ref="AE276:AE339" si="192">(180/PI())*IMARGUMENT(AC276)</f>
        <v>#DIV/0!</v>
      </c>
      <c r="AF276" s="98" t="str">
        <f t="shared" si="178"/>
        <v>-0.0000182926829268293</v>
      </c>
      <c r="AG276" s="98" t="str">
        <f t="shared" si="179"/>
        <v>0.000530791455303098i</v>
      </c>
      <c r="AH276" s="98">
        <f t="shared" ref="AH276:AH339" si="193">IMABS(AG276)</f>
        <v>5.3079145530309803E-4</v>
      </c>
      <c r="AI276" s="98">
        <f t="shared" ref="AI276:AI339" si="194">IMARGUMENT(AG276)</f>
        <v>1.5707963267948966</v>
      </c>
      <c r="AJ276" s="98" t="str">
        <f t="shared" si="180"/>
        <v>1+0.0520332766692577i</v>
      </c>
      <c r="AK276" s="98">
        <f t="shared" ref="AK276:AK339" si="195">IMABS(AJ276)</f>
        <v>1.0013528158850604</v>
      </c>
      <c r="AL276" s="98">
        <f t="shared" ref="AL276:AL339" si="196">IMARGUMENT(AJ276)</f>
        <v>5.1986393435424556E-2</v>
      </c>
      <c r="AM276" s="98" t="str">
        <f t="shared" si="181"/>
        <v>1+5.25536094359502i</v>
      </c>
      <c r="AN276" s="98">
        <f t="shared" ref="AN276:AN339" si="197">IMABS(AM276)</f>
        <v>5.3496559372976451</v>
      </c>
      <c r="AO276" s="98">
        <f t="shared" ref="AO276:AO339" si="198">IMARGUMENT(AM276)</f>
        <v>1.3827623284015944</v>
      </c>
      <c r="AP276" s="168" t="str">
        <f t="shared" ref="AP276:AP339" si="199">IMPRODUCT(AF276,IMDIV(AM276,IMPRODUCT(AG276,AJ276)))</f>
        <v>-0.178838250316655+0.0437685721905387i</v>
      </c>
      <c r="AQ276" s="98">
        <f t="shared" ref="AQ276:AQ339" si="200">20*LOG(IMABS(AP276))</f>
        <v>-14.698155768312247</v>
      </c>
      <c r="AR276" s="169">
        <f t="shared" ref="AR276:AR339" si="201">(180/PI())*IMARGUMENT(AP276)</f>
        <v>166.24784455113766</v>
      </c>
      <c r="AS276" s="168" t="e">
        <f t="shared" ref="AS276:AS339" si="202">IMPRODUCT(AC276,AP276)</f>
        <v>#DIV/0!</v>
      </c>
      <c r="AT276" s="190" t="e">
        <f t="shared" ref="AT276:AT339" si="203">20*LOG(IMABS(AS276))</f>
        <v>#DIV/0!</v>
      </c>
      <c r="AU276" s="169" t="e">
        <f t="shared" ref="AU276:AU339" si="204">(180/PI())*IMARGUMENT(AS276)</f>
        <v>#DIV/0!</v>
      </c>
      <c r="AV276" s="225"/>
      <c r="AX276" t="e">
        <f t="shared" ref="AX276:AX339" si="205">SUM((AT277&lt;0)*(AT276&gt;0))*O276</f>
        <v>#DIV/0!</v>
      </c>
      <c r="AY276" t="e">
        <f t="shared" ref="AY276:AY339" si="206">IF(AX276&gt;0,AU276,0)</f>
        <v>#DIV/0!</v>
      </c>
    </row>
    <row r="277" spans="14:51" x14ac:dyDescent="0.25">
      <c r="N277" s="170">
        <v>59</v>
      </c>
      <c r="O277" s="199">
        <f t="shared" si="172"/>
        <v>3890.451449942811</v>
      </c>
      <c r="P277" s="189" t="str">
        <f t="shared" si="173"/>
        <v>290</v>
      </c>
      <c r="Q277" s="160" t="e">
        <f t="shared" si="174"/>
        <v>#DIV/0!</v>
      </c>
      <c r="R277" s="160" t="e">
        <f t="shared" si="182"/>
        <v>#DIV/0!</v>
      </c>
      <c r="S277" s="160" t="e">
        <f t="shared" si="183"/>
        <v>#DIV/0!</v>
      </c>
      <c r="T277" s="160" t="e">
        <f t="shared" si="175"/>
        <v>#DIV/0!</v>
      </c>
      <c r="U277" s="160" t="e">
        <f t="shared" si="184"/>
        <v>#DIV/0!</v>
      </c>
      <c r="V277" s="160" t="e">
        <f t="shared" si="185"/>
        <v>#DIV/0!</v>
      </c>
      <c r="W277" s="98" t="str">
        <f t="shared" si="176"/>
        <v>1-0.194791530752717i</v>
      </c>
      <c r="X277" s="160">
        <f t="shared" si="186"/>
        <v>1.0187952397086408</v>
      </c>
      <c r="Y277" s="160">
        <f t="shared" si="187"/>
        <v>-0.19238243700911414</v>
      </c>
      <c r="Z277" s="98" t="str">
        <f t="shared" si="177"/>
        <v>0.999687280733794+0.0231310126671389i</v>
      </c>
      <c r="AA277" s="160">
        <f t="shared" si="188"/>
        <v>0.99995485048472799</v>
      </c>
      <c r="AB277" s="160">
        <f t="shared" si="189"/>
        <v>2.3134120528565966E-2</v>
      </c>
      <c r="AC277" s="171" t="e">
        <f t="shared" si="190"/>
        <v>#DIV/0!</v>
      </c>
      <c r="AD277" s="190" t="e">
        <f t="shared" si="191"/>
        <v>#DIV/0!</v>
      </c>
      <c r="AE277" s="169" t="e">
        <f t="shared" si="192"/>
        <v>#DIV/0!</v>
      </c>
      <c r="AF277" s="98" t="str">
        <f t="shared" si="178"/>
        <v>-0.0000182926829268293</v>
      </c>
      <c r="AG277" s="98" t="str">
        <f t="shared" si="179"/>
        <v>0.000543155176574163i</v>
      </c>
      <c r="AH277" s="98">
        <f t="shared" si="193"/>
        <v>5.4315517657416298E-4</v>
      </c>
      <c r="AI277" s="98">
        <f t="shared" si="194"/>
        <v>1.5707963267948966</v>
      </c>
      <c r="AJ277" s="98" t="str">
        <f t="shared" si="180"/>
        <v>1+0.0532452873810571i</v>
      </c>
      <c r="AK277" s="98">
        <f t="shared" si="195"/>
        <v>1.0014165270397186</v>
      </c>
      <c r="AL277" s="98">
        <f t="shared" si="196"/>
        <v>5.3195054928009557E-2</v>
      </c>
      <c r="AM277" s="98" t="str">
        <f t="shared" si="181"/>
        <v>1+5.37777402548676i</v>
      </c>
      <c r="AN277" s="98">
        <f t="shared" si="197"/>
        <v>5.4699591835040291</v>
      </c>
      <c r="AO277" s="98">
        <f t="shared" si="198"/>
        <v>1.3869456298570033</v>
      </c>
      <c r="AP277" s="168" t="str">
        <f t="shared" si="199"/>
        <v>-0.178815495291812+0.0431996400844102i</v>
      </c>
      <c r="AQ277" s="98">
        <f t="shared" si="200"/>
        <v>-14.705543703905018</v>
      </c>
      <c r="AR277" s="169">
        <f t="shared" si="201"/>
        <v>166.41827886657842</v>
      </c>
      <c r="AS277" s="168" t="e">
        <f t="shared" si="202"/>
        <v>#DIV/0!</v>
      </c>
      <c r="AT277" s="190" t="e">
        <f t="shared" si="203"/>
        <v>#DIV/0!</v>
      </c>
      <c r="AU277" s="169" t="e">
        <f t="shared" si="204"/>
        <v>#DIV/0!</v>
      </c>
      <c r="AV277" s="225"/>
      <c r="AX277" t="e">
        <f t="shared" si="205"/>
        <v>#DIV/0!</v>
      </c>
      <c r="AY277" t="e">
        <f t="shared" si="206"/>
        <v>#DIV/0!</v>
      </c>
    </row>
    <row r="278" spans="14:51" x14ac:dyDescent="0.25">
      <c r="N278" s="170">
        <v>60</v>
      </c>
      <c r="O278" s="199">
        <f t="shared" si="172"/>
        <v>3981.0717055349769</v>
      </c>
      <c r="P278" s="189" t="str">
        <f t="shared" si="173"/>
        <v>290</v>
      </c>
      <c r="Q278" s="160" t="e">
        <f t="shared" si="174"/>
        <v>#DIV/0!</v>
      </c>
      <c r="R278" s="160" t="e">
        <f t="shared" si="182"/>
        <v>#DIV/0!</v>
      </c>
      <c r="S278" s="160" t="e">
        <f t="shared" si="183"/>
        <v>#DIV/0!</v>
      </c>
      <c r="T278" s="160" t="e">
        <f t="shared" si="175"/>
        <v>#DIV/0!</v>
      </c>
      <c r="U278" s="160" t="e">
        <f t="shared" si="184"/>
        <v>#DIV/0!</v>
      </c>
      <c r="V278" s="160" t="e">
        <f t="shared" si="185"/>
        <v>#DIV/0!</v>
      </c>
      <c r="W278" s="98" t="str">
        <f t="shared" si="176"/>
        <v>1-0.199328808374896i</v>
      </c>
      <c r="X278" s="160">
        <f t="shared" si="186"/>
        <v>1.0196724836182234</v>
      </c>
      <c r="Y278" s="160">
        <f t="shared" si="187"/>
        <v>-0.19675010006398241</v>
      </c>
      <c r="Z278" s="98" t="str">
        <f t="shared" si="177"/>
        <v>0.99967254272883+0.0236698031666406i</v>
      </c>
      <c r="AA278" s="160">
        <f t="shared" si="188"/>
        <v>0.99995272501647403</v>
      </c>
      <c r="AB278" s="160">
        <f t="shared" si="189"/>
        <v>2.3673133285808889E-2</v>
      </c>
      <c r="AC278" s="171" t="e">
        <f t="shared" si="190"/>
        <v>#DIV/0!</v>
      </c>
      <c r="AD278" s="190" t="e">
        <f t="shared" si="191"/>
        <v>#DIV/0!</v>
      </c>
      <c r="AE278" s="169" t="e">
        <f t="shared" si="192"/>
        <v>#DIV/0!</v>
      </c>
      <c r="AF278" s="98" t="str">
        <f t="shared" si="178"/>
        <v>-0.0000182926829268293</v>
      </c>
      <c r="AG278" s="98" t="str">
        <f t="shared" si="179"/>
        <v>0.000555806885909356i</v>
      </c>
      <c r="AH278" s="98">
        <f t="shared" si="193"/>
        <v>5.5580688590935602E-4</v>
      </c>
      <c r="AI278" s="98">
        <f t="shared" si="194"/>
        <v>1.5707963267948966</v>
      </c>
      <c r="AJ278" s="98" t="str">
        <f t="shared" si="180"/>
        <v>1+0.0544855294490105i</v>
      </c>
      <c r="AK278" s="98">
        <f t="shared" si="195"/>
        <v>1.0014832364644648</v>
      </c>
      <c r="AL278" s="98">
        <f t="shared" si="196"/>
        <v>5.4431708710312714E-2</v>
      </c>
      <c r="AM278" s="98" t="str">
        <f t="shared" si="181"/>
        <v>1+5.50303847435005i</v>
      </c>
      <c r="AN278" s="98">
        <f t="shared" si="197"/>
        <v>5.5931594336454351</v>
      </c>
      <c r="AO278" s="98">
        <f t="shared" si="198"/>
        <v>1.3910400062126433</v>
      </c>
      <c r="AP278" s="168" t="str">
        <f t="shared" si="199"/>
        <v>-0.178791674061253+0.0426534991054133i</v>
      </c>
      <c r="AQ278" s="98">
        <f t="shared" si="200"/>
        <v>-14.712660026692346</v>
      </c>
      <c r="AR278" s="169">
        <f t="shared" si="201"/>
        <v>166.58201430904992</v>
      </c>
      <c r="AS278" s="168" t="e">
        <f t="shared" si="202"/>
        <v>#DIV/0!</v>
      </c>
      <c r="AT278" s="190" t="e">
        <f t="shared" si="203"/>
        <v>#DIV/0!</v>
      </c>
      <c r="AU278" s="169" t="e">
        <f t="shared" si="204"/>
        <v>#DIV/0!</v>
      </c>
      <c r="AV278" s="225"/>
      <c r="AX278" t="e">
        <f t="shared" si="205"/>
        <v>#DIV/0!</v>
      </c>
      <c r="AY278" t="e">
        <f t="shared" si="206"/>
        <v>#DIV/0!</v>
      </c>
    </row>
    <row r="279" spans="14:51" x14ac:dyDescent="0.25">
      <c r="N279" s="170">
        <v>61</v>
      </c>
      <c r="O279" s="199">
        <f t="shared" si="172"/>
        <v>4073.8027780411317</v>
      </c>
      <c r="P279" s="189" t="str">
        <f t="shared" si="173"/>
        <v>290</v>
      </c>
      <c r="Q279" s="160" t="e">
        <f t="shared" si="174"/>
        <v>#DIV/0!</v>
      </c>
      <c r="R279" s="160" t="e">
        <f t="shared" si="182"/>
        <v>#DIV/0!</v>
      </c>
      <c r="S279" s="160" t="e">
        <f t="shared" si="183"/>
        <v>#DIV/0!</v>
      </c>
      <c r="T279" s="160" t="e">
        <f t="shared" si="175"/>
        <v>#DIV/0!</v>
      </c>
      <c r="U279" s="160" t="e">
        <f t="shared" si="184"/>
        <v>#DIV/0!</v>
      </c>
      <c r="V279" s="160" t="e">
        <f t="shared" si="185"/>
        <v>#DIV/0!</v>
      </c>
      <c r="W279" s="98" t="str">
        <f t="shared" si="176"/>
        <v>1-0.203971772769705i</v>
      </c>
      <c r="X279" s="160">
        <f t="shared" si="186"/>
        <v>1.0205902625867131</v>
      </c>
      <c r="Y279" s="160">
        <f t="shared" si="187"/>
        <v>-0.20121163885983634</v>
      </c>
      <c r="Z279" s="98" t="str">
        <f t="shared" si="177"/>
        <v>0.999657110143091+0.0242211437090881i</v>
      </c>
      <c r="AA279" s="160">
        <f t="shared" si="188"/>
        <v>0.9999504996059615</v>
      </c>
      <c r="AB279" s="160">
        <f t="shared" si="189"/>
        <v>2.4224711979965213E-2</v>
      </c>
      <c r="AC279" s="171" t="e">
        <f t="shared" si="190"/>
        <v>#DIV/0!</v>
      </c>
      <c r="AD279" s="190" t="e">
        <f t="shared" si="191"/>
        <v>#DIV/0!</v>
      </c>
      <c r="AE279" s="169" t="e">
        <f t="shared" si="192"/>
        <v>#DIV/0!</v>
      </c>
      <c r="AF279" s="98" t="str">
        <f t="shared" si="178"/>
        <v>-0.0000182926829268293</v>
      </c>
      <c r="AG279" s="98" t="str">
        <f t="shared" si="179"/>
        <v>0.000568753291412433i</v>
      </c>
      <c r="AH279" s="98">
        <f t="shared" si="193"/>
        <v>5.68753291412433E-4</v>
      </c>
      <c r="AI279" s="98">
        <f t="shared" si="194"/>
        <v>1.5707963267948966</v>
      </c>
      <c r="AJ279" s="98" t="str">
        <f t="shared" si="180"/>
        <v>1+0.0557546604658791i</v>
      </c>
      <c r="AK279" s="98">
        <f t="shared" si="195"/>
        <v>1.0015530850452539</v>
      </c>
      <c r="AL279" s="98">
        <f t="shared" si="196"/>
        <v>5.5696995334120869E-2</v>
      </c>
      <c r="AM279" s="98" t="str">
        <f t="shared" si="181"/>
        <v>1+5.63122070705378i</v>
      </c>
      <c r="AN279" s="98">
        <f t="shared" si="197"/>
        <v>5.7193222195948428</v>
      </c>
      <c r="AO279" s="98">
        <f t="shared" si="198"/>
        <v>1.3950470789893512</v>
      </c>
      <c r="AP279" s="168" t="str">
        <f t="shared" si="199"/>
        <v>-0.178766736972233+0.0421298515855636i</v>
      </c>
      <c r="AQ279" s="98">
        <f t="shared" si="200"/>
        <v>-14.719518489373355</v>
      </c>
      <c r="AR279" s="169">
        <f t="shared" si="201"/>
        <v>166.73910708393845</v>
      </c>
      <c r="AS279" s="168" t="e">
        <f t="shared" si="202"/>
        <v>#DIV/0!</v>
      </c>
      <c r="AT279" s="190" t="e">
        <f t="shared" si="203"/>
        <v>#DIV/0!</v>
      </c>
      <c r="AU279" s="169" t="e">
        <f t="shared" si="204"/>
        <v>#DIV/0!</v>
      </c>
      <c r="AV279" s="225"/>
      <c r="AX279" t="e">
        <f t="shared" si="205"/>
        <v>#DIV/0!</v>
      </c>
      <c r="AY279" t="e">
        <f t="shared" si="206"/>
        <v>#DIV/0!</v>
      </c>
    </row>
    <row r="280" spans="14:51" x14ac:dyDescent="0.25">
      <c r="N280" s="170">
        <v>62</v>
      </c>
      <c r="O280" s="199">
        <f t="shared" si="172"/>
        <v>4168.6938347033583</v>
      </c>
      <c r="P280" s="189" t="str">
        <f t="shared" si="173"/>
        <v>290</v>
      </c>
      <c r="Q280" s="160" t="e">
        <f t="shared" si="174"/>
        <v>#DIV/0!</v>
      </c>
      <c r="R280" s="160" t="e">
        <f t="shared" si="182"/>
        <v>#DIV/0!</v>
      </c>
      <c r="S280" s="160" t="e">
        <f t="shared" si="183"/>
        <v>#DIV/0!</v>
      </c>
      <c r="T280" s="160" t="e">
        <f t="shared" si="175"/>
        <v>#DIV/0!</v>
      </c>
      <c r="U280" s="160" t="e">
        <f t="shared" si="184"/>
        <v>#DIV/0!</v>
      </c>
      <c r="V280" s="160" t="e">
        <f t="shared" si="185"/>
        <v>#DIV/0!</v>
      </c>
      <c r="W280" s="98" t="str">
        <f t="shared" si="176"/>
        <v>1-0.208722885698321i</v>
      </c>
      <c r="X280" s="160">
        <f t="shared" si="186"/>
        <v>1.0215504113915448</v>
      </c>
      <c r="Y280" s="160">
        <f t="shared" si="187"/>
        <v>-0.20576870815904291</v>
      </c>
      <c r="Z280" s="98" t="str">
        <f t="shared" si="177"/>
        <v>0.999640950241994+0.024785326622535i</v>
      </c>
      <c r="AA280" s="160">
        <f t="shared" si="188"/>
        <v>0.99994816956505428</v>
      </c>
      <c r="AB280" s="160">
        <f t="shared" si="189"/>
        <v>2.4789150075600164E-2</v>
      </c>
      <c r="AC280" s="171" t="e">
        <f t="shared" si="190"/>
        <v>#DIV/0!</v>
      </c>
      <c r="AD280" s="190" t="e">
        <f t="shared" si="191"/>
        <v>#DIV/0!</v>
      </c>
      <c r="AE280" s="169" t="e">
        <f t="shared" si="192"/>
        <v>#DIV/0!</v>
      </c>
      <c r="AF280" s="98" t="str">
        <f t="shared" si="178"/>
        <v>-0.0000182926829268293</v>
      </c>
      <c r="AG280" s="98" t="str">
        <f t="shared" si="179"/>
        <v>0.000582001257438956i</v>
      </c>
      <c r="AH280" s="98">
        <f t="shared" si="193"/>
        <v>5.8200125743895596E-4</v>
      </c>
      <c r="AI280" s="98">
        <f t="shared" si="194"/>
        <v>1.5707963267948966</v>
      </c>
      <c r="AJ280" s="98" t="str">
        <f t="shared" si="180"/>
        <v>1+0.057053353341727i</v>
      </c>
      <c r="AK280" s="98">
        <f t="shared" si="195"/>
        <v>1.0016262202675885</v>
      </c>
      <c r="AL280" s="98">
        <f t="shared" si="196"/>
        <v>5.6991569456682496E-2</v>
      </c>
      <c r="AM280" s="98" t="str">
        <f t="shared" si="181"/>
        <v>1+5.76238868751442i</v>
      </c>
      <c r="AN280" s="98">
        <f t="shared" si="197"/>
        <v>5.8485146307412252</v>
      </c>
      <c r="AO280" s="98">
        <f t="shared" si="198"/>
        <v>1.3989684578150521</v>
      </c>
      <c r="AP280" s="168" t="str">
        <f t="shared" si="199"/>
        <v>-0.178740632089043+0.0416284112100526i</v>
      </c>
      <c r="AQ280" s="98">
        <f t="shared" si="200"/>
        <v>-14.726132409043206</v>
      </c>
      <c r="AR280" s="169">
        <f t="shared" si="201"/>
        <v>166.88961190703344</v>
      </c>
      <c r="AS280" s="168" t="e">
        <f t="shared" si="202"/>
        <v>#DIV/0!</v>
      </c>
      <c r="AT280" s="190" t="e">
        <f t="shared" si="203"/>
        <v>#DIV/0!</v>
      </c>
      <c r="AU280" s="169" t="e">
        <f t="shared" si="204"/>
        <v>#DIV/0!</v>
      </c>
      <c r="AV280" s="225"/>
      <c r="AX280" t="e">
        <f t="shared" si="205"/>
        <v>#DIV/0!</v>
      </c>
      <c r="AY280" t="e">
        <f t="shared" si="206"/>
        <v>#DIV/0!</v>
      </c>
    </row>
    <row r="281" spans="14:51" x14ac:dyDescent="0.25">
      <c r="N281" s="170">
        <v>63</v>
      </c>
      <c r="O281" s="199">
        <f t="shared" si="172"/>
        <v>4265.7951880159299</v>
      </c>
      <c r="P281" s="189" t="str">
        <f t="shared" si="173"/>
        <v>290</v>
      </c>
      <c r="Q281" s="160" t="e">
        <f t="shared" si="174"/>
        <v>#DIV/0!</v>
      </c>
      <c r="R281" s="160" t="e">
        <f t="shared" si="182"/>
        <v>#DIV/0!</v>
      </c>
      <c r="S281" s="160" t="e">
        <f t="shared" si="183"/>
        <v>#DIV/0!</v>
      </c>
      <c r="T281" s="160" t="e">
        <f t="shared" si="175"/>
        <v>#DIV/0!</v>
      </c>
      <c r="U281" s="160" t="e">
        <f t="shared" si="184"/>
        <v>#DIV/0!</v>
      </c>
      <c r="V281" s="160" t="e">
        <f t="shared" si="185"/>
        <v>#DIV/0!</v>
      </c>
      <c r="W281" s="98" t="str">
        <f t="shared" si="176"/>
        <v>1-0.213584666263709i</v>
      </c>
      <c r="X281" s="160">
        <f t="shared" si="186"/>
        <v>1.0225548443301122</v>
      </c>
      <c r="Y281" s="160">
        <f t="shared" si="187"/>
        <v>-0.21042296673488156</v>
      </c>
      <c r="Z281" s="98" t="str">
        <f t="shared" si="177"/>
        <v>0.999624028748221+0.0253626510442296i</v>
      </c>
      <c r="AA281" s="160">
        <f t="shared" si="188"/>
        <v>0.99994572998679054</v>
      </c>
      <c r="AB281" s="160">
        <f t="shared" si="189"/>
        <v>2.5366747927730131E-2</v>
      </c>
      <c r="AC281" s="171" t="e">
        <f t="shared" si="190"/>
        <v>#DIV/0!</v>
      </c>
      <c r="AD281" s="190" t="e">
        <f t="shared" si="191"/>
        <v>#DIV/0!</v>
      </c>
      <c r="AE281" s="169" t="e">
        <f t="shared" si="192"/>
        <v>#DIV/0!</v>
      </c>
      <c r="AF281" s="98" t="str">
        <f t="shared" si="178"/>
        <v>-0.0000182926829268293</v>
      </c>
      <c r="AG281" s="98" t="str">
        <f t="shared" si="179"/>
        <v>0.000595557808235871i</v>
      </c>
      <c r="AH281" s="98">
        <f t="shared" si="193"/>
        <v>5.9555780823587095E-4</v>
      </c>
      <c r="AI281" s="98">
        <f t="shared" si="194"/>
        <v>1.5707963267948966</v>
      </c>
      <c r="AJ281" s="98" t="str">
        <f t="shared" si="180"/>
        <v>1+0.058382296660707i</v>
      </c>
      <c r="AK281" s="98">
        <f t="shared" si="195"/>
        <v>1.0017027965236889</v>
      </c>
      <c r="AL281" s="98">
        <f t="shared" si="196"/>
        <v>5.8316100111663237E-2</v>
      </c>
      <c r="AM281" s="98" t="str">
        <f t="shared" si="181"/>
        <v>1+5.8966119627314i</v>
      </c>
      <c r="AN281" s="98">
        <f t="shared" si="197"/>
        <v>5.9808053503710568</v>
      </c>
      <c r="AO281" s="98">
        <f t="shared" si="198"/>
        <v>1.4028057392177011</v>
      </c>
      <c r="AP281" s="168" t="str">
        <f t="shared" si="199"/>
        <v>-0.178713305090863+0.0411489028251665i</v>
      </c>
      <c r="AQ281" s="98">
        <f t="shared" si="200"/>
        <v>-14.732514686047772</v>
      </c>
      <c r="AR281" s="169">
        <f t="shared" si="201"/>
        <v>167.03358191984319</v>
      </c>
      <c r="AS281" s="168" t="e">
        <f t="shared" si="202"/>
        <v>#DIV/0!</v>
      </c>
      <c r="AT281" s="190" t="e">
        <f t="shared" si="203"/>
        <v>#DIV/0!</v>
      </c>
      <c r="AU281" s="169" t="e">
        <f t="shared" si="204"/>
        <v>#DIV/0!</v>
      </c>
      <c r="AV281" s="225"/>
      <c r="AX281" t="e">
        <f t="shared" si="205"/>
        <v>#DIV/0!</v>
      </c>
      <c r="AY281" t="e">
        <f t="shared" si="206"/>
        <v>#DIV/0!</v>
      </c>
    </row>
    <row r="282" spans="14:51" x14ac:dyDescent="0.25">
      <c r="N282" s="170">
        <v>64</v>
      </c>
      <c r="O282" s="199">
        <f t="shared" si="172"/>
        <v>4365.1583224016631</v>
      </c>
      <c r="P282" s="189" t="str">
        <f t="shared" si="173"/>
        <v>290</v>
      </c>
      <c r="Q282" s="160" t="e">
        <f t="shared" si="174"/>
        <v>#DIV/0!</v>
      </c>
      <c r="R282" s="160" t="e">
        <f t="shared" si="182"/>
        <v>#DIV/0!</v>
      </c>
      <c r="S282" s="160" t="e">
        <f t="shared" si="183"/>
        <v>#DIV/0!</v>
      </c>
      <c r="T282" s="160" t="e">
        <f t="shared" si="175"/>
        <v>#DIV/0!</v>
      </c>
      <c r="U282" s="160" t="e">
        <f t="shared" si="184"/>
        <v>#DIV/0!</v>
      </c>
      <c r="V282" s="160" t="e">
        <f t="shared" si="185"/>
        <v>#DIV/0!</v>
      </c>
      <c r="W282" s="98" t="str">
        <f t="shared" si="176"/>
        <v>1-0.218559692246277i</v>
      </c>
      <c r="X282" s="160">
        <f t="shared" si="186"/>
        <v>1.0236055583450041</v>
      </c>
      <c r="Y282" s="160">
        <f t="shared" si="187"/>
        <v>-0.21517607539194064</v>
      </c>
      <c r="Z282" s="98" t="str">
        <f t="shared" si="177"/>
        <v>0.999606309769016+0.0259534230792223i</v>
      </c>
      <c r="AA282" s="160">
        <f t="shared" si="188"/>
        <v>0.99994317573528091</v>
      </c>
      <c r="AB282" s="160">
        <f t="shared" si="189"/>
        <v>2.5957812946238151E-2</v>
      </c>
      <c r="AC282" s="171" t="e">
        <f t="shared" si="190"/>
        <v>#DIV/0!</v>
      </c>
      <c r="AD282" s="190" t="e">
        <f t="shared" si="191"/>
        <v>#DIV/0!</v>
      </c>
      <c r="AE282" s="169" t="e">
        <f t="shared" si="192"/>
        <v>#DIV/0!</v>
      </c>
      <c r="AF282" s="98" t="str">
        <f t="shared" si="178"/>
        <v>-0.0000182926829268293</v>
      </c>
      <c r="AG282" s="98" t="str">
        <f t="shared" si="179"/>
        <v>0.000609430131665852i</v>
      </c>
      <c r="AH282" s="98">
        <f t="shared" si="193"/>
        <v>6.0943013166585205E-4</v>
      </c>
      <c r="AI282" s="98">
        <f t="shared" si="194"/>
        <v>1.5707963267948966</v>
      </c>
      <c r="AJ282" s="98" t="str">
        <f t="shared" si="180"/>
        <v>1+0.0597421950461574i</v>
      </c>
      <c r="AK282" s="98">
        <f t="shared" si="195"/>
        <v>1.0017829754337679</v>
      </c>
      <c r="AL282" s="98">
        <f t="shared" si="196"/>
        <v>5.9671270982375672E-2</v>
      </c>
      <c r="AM282" s="98" t="str">
        <f t="shared" si="181"/>
        <v>1+6.03396169966189i</v>
      </c>
      <c r="AN282" s="98">
        <f t="shared" si="197"/>
        <v>6.1162646928486195</v>
      </c>
      <c r="AO282" s="98">
        <f t="shared" si="198"/>
        <v>1.4065605055248935</v>
      </c>
      <c r="AP282" s="168" t="str">
        <f t="shared" si="199"/>
        <v>-0.178684699165329+0.0406910622493287i</v>
      </c>
      <c r="AQ282" s="98">
        <f t="shared" si="200"/>
        <v>-14.738677822689448</v>
      </c>
      <c r="AR282" s="169">
        <f t="shared" si="201"/>
        <v>167.17106861089226</v>
      </c>
      <c r="AS282" s="168" t="e">
        <f t="shared" si="202"/>
        <v>#DIV/0!</v>
      </c>
      <c r="AT282" s="190" t="e">
        <f t="shared" si="203"/>
        <v>#DIV/0!</v>
      </c>
      <c r="AU282" s="169" t="e">
        <f t="shared" si="204"/>
        <v>#DIV/0!</v>
      </c>
      <c r="AV282" s="225"/>
      <c r="AX282" t="e">
        <f t="shared" si="205"/>
        <v>#DIV/0!</v>
      </c>
      <c r="AY282" t="e">
        <f t="shared" si="206"/>
        <v>#DIV/0!</v>
      </c>
    </row>
    <row r="283" spans="14:51" x14ac:dyDescent="0.25">
      <c r="N283" s="170">
        <v>65</v>
      </c>
      <c r="O283" s="199">
        <f t="shared" si="172"/>
        <v>4466.8359215096343</v>
      </c>
      <c r="P283" s="189" t="str">
        <f t="shared" si="173"/>
        <v>290</v>
      </c>
      <c r="Q283" s="160" t="e">
        <f t="shared" si="174"/>
        <v>#DIV/0!</v>
      </c>
      <c r="R283" s="160" t="e">
        <f t="shared" si="182"/>
        <v>#DIV/0!</v>
      </c>
      <c r="S283" s="160" t="e">
        <f t="shared" si="183"/>
        <v>#DIV/0!</v>
      </c>
      <c r="T283" s="160" t="e">
        <f t="shared" si="175"/>
        <v>#DIV/0!</v>
      </c>
      <c r="U283" s="160" t="e">
        <f t="shared" si="184"/>
        <v>#DIV/0!</v>
      </c>
      <c r="V283" s="160" t="e">
        <f t="shared" si="185"/>
        <v>#DIV/0!</v>
      </c>
      <c r="W283" s="98" t="str">
        <f t="shared" si="176"/>
        <v>1-0.223650601470653i</v>
      </c>
      <c r="X283" s="160">
        <f t="shared" si="186"/>
        <v>1.0247046362431396</v>
      </c>
      <c r="Y283" s="160">
        <f t="shared" si="187"/>
        <v>-0.22002969483549203</v>
      </c>
      <c r="Z283" s="98" t="str">
        <f t="shared" si="177"/>
        <v>0.999587755720048+0.0265579559626658i</v>
      </c>
      <c r="AA283" s="160">
        <f t="shared" si="188"/>
        <v>0.99994050143513902</v>
      </c>
      <c r="AB283" s="160">
        <f t="shared" si="189"/>
        <v>2.6562659764397416E-2</v>
      </c>
      <c r="AC283" s="171" t="e">
        <f t="shared" si="190"/>
        <v>#DIV/0!</v>
      </c>
      <c r="AD283" s="190" t="e">
        <f t="shared" si="191"/>
        <v>#DIV/0!</v>
      </c>
      <c r="AE283" s="169" t="e">
        <f t="shared" si="192"/>
        <v>#DIV/0!</v>
      </c>
      <c r="AF283" s="98" t="str">
        <f t="shared" si="178"/>
        <v>-0.0000182926829268293</v>
      </c>
      <c r="AG283" s="98" t="str">
        <f t="shared" si="179"/>
        <v>0.000623625583018404i</v>
      </c>
      <c r="AH283" s="98">
        <f t="shared" si="193"/>
        <v>6.23625583018404E-4</v>
      </c>
      <c r="AI283" s="98">
        <f t="shared" si="194"/>
        <v>1.5707963267948966</v>
      </c>
      <c r="AJ283" s="98" t="str">
        <f t="shared" si="180"/>
        <v>1+0.0611337695342028i</v>
      </c>
      <c r="AK283" s="98">
        <f t="shared" si="195"/>
        <v>1.0018669261820459</v>
      </c>
      <c r="AL283" s="98">
        <f t="shared" si="196"/>
        <v>6.1057780677056826E-2</v>
      </c>
      <c r="AM283" s="98" t="str">
        <f t="shared" si="181"/>
        <v>1+6.17451072295448i</v>
      </c>
      <c r="AN283" s="98">
        <f t="shared" si="197"/>
        <v>6.2549646416170779</v>
      </c>
      <c r="AO283" s="98">
        <f t="shared" si="198"/>
        <v>1.4102343238643367</v>
      </c>
      <c r="AP283" s="168" t="str">
        <f t="shared" si="199"/>
        <v>-0.17865475489764+0.0402546360869761i</v>
      </c>
      <c r="AQ283" s="98">
        <f t="shared" si="200"/>
        <v>-14.744633941767161</v>
      </c>
      <c r="AR283" s="169">
        <f t="shared" si="201"/>
        <v>167.30212174268101</v>
      </c>
      <c r="AS283" s="168" t="e">
        <f t="shared" si="202"/>
        <v>#DIV/0!</v>
      </c>
      <c r="AT283" s="190" t="e">
        <f t="shared" si="203"/>
        <v>#DIV/0!</v>
      </c>
      <c r="AU283" s="169" t="e">
        <f t="shared" si="204"/>
        <v>#DIV/0!</v>
      </c>
      <c r="AV283" s="225"/>
      <c r="AX283" t="e">
        <f t="shared" si="205"/>
        <v>#DIV/0!</v>
      </c>
      <c r="AY283" t="e">
        <f t="shared" si="206"/>
        <v>#DIV/0!</v>
      </c>
    </row>
    <row r="284" spans="14:51" x14ac:dyDescent="0.25">
      <c r="N284" s="170">
        <v>66</v>
      </c>
      <c r="O284" s="199">
        <f t="shared" ref="O284:O318" si="207">10^(3+(N284/100))</f>
        <v>4570.8818961487532</v>
      </c>
      <c r="P284" s="189" t="str">
        <f t="shared" si="173"/>
        <v>290</v>
      </c>
      <c r="Q284" s="160" t="e">
        <f t="shared" si="174"/>
        <v>#DIV/0!</v>
      </c>
      <c r="R284" s="160" t="e">
        <f t="shared" si="182"/>
        <v>#DIV/0!</v>
      </c>
      <c r="S284" s="160" t="e">
        <f t="shared" si="183"/>
        <v>#DIV/0!</v>
      </c>
      <c r="T284" s="160" t="e">
        <f t="shared" si="175"/>
        <v>#DIV/0!</v>
      </c>
      <c r="U284" s="160" t="e">
        <f t="shared" si="184"/>
        <v>#DIV/0!</v>
      </c>
      <c r="V284" s="160" t="e">
        <f t="shared" si="185"/>
        <v>#DIV/0!</v>
      </c>
      <c r="W284" s="98" t="str">
        <f t="shared" si="176"/>
        <v>1-0.228860093204295i</v>
      </c>
      <c r="X284" s="160">
        <f t="shared" si="186"/>
        <v>1.025854250008976</v>
      </c>
      <c r="Y284" s="160">
        <f t="shared" si="187"/>
        <v>-0.22498548338328769</v>
      </c>
      <c r="Z284" s="98" t="str">
        <f t="shared" si="177"/>
        <v>0.999568327245691+0.0271765702258968i</v>
      </c>
      <c r="AA284" s="160">
        <f t="shared" si="188"/>
        <v>0.99993770146044192</v>
      </c>
      <c r="AB284" s="160">
        <f t="shared" si="189"/>
        <v>2.7181610411620833E-2</v>
      </c>
      <c r="AC284" s="171" t="e">
        <f t="shared" si="190"/>
        <v>#DIV/0!</v>
      </c>
      <c r="AD284" s="190" t="e">
        <f t="shared" si="191"/>
        <v>#DIV/0!</v>
      </c>
      <c r="AE284" s="169" t="e">
        <f t="shared" si="192"/>
        <v>#DIV/0!</v>
      </c>
      <c r="AF284" s="98" t="str">
        <f t="shared" si="178"/>
        <v>-0.0000182926829268293</v>
      </c>
      <c r="AG284" s="98" t="str">
        <f t="shared" si="179"/>
        <v>0.000638151688909732i</v>
      </c>
      <c r="AH284" s="98">
        <f t="shared" si="193"/>
        <v>6.3815168890973199E-4</v>
      </c>
      <c r="AI284" s="98">
        <f t="shared" si="194"/>
        <v>1.5707963267948966</v>
      </c>
      <c r="AJ284" s="98" t="str">
        <f t="shared" si="180"/>
        <v>1+0.0625577579560564i</v>
      </c>
      <c r="AK284" s="98">
        <f t="shared" si="195"/>
        <v>1.001954825868157</v>
      </c>
      <c r="AL284" s="98">
        <f t="shared" si="196"/>
        <v>6.2476343005942958E-2</v>
      </c>
      <c r="AM284" s="98" t="str">
        <f t="shared" si="181"/>
        <v>1+6.31833355356169i</v>
      </c>
      <c r="AN284" s="98">
        <f t="shared" si="197"/>
        <v>6.3969788880426597</v>
      </c>
      <c r="AO284" s="98">
        <f t="shared" si="198"/>
        <v>1.4138287452595597</v>
      </c>
      <c r="AP284" s="168" t="str">
        <f t="shared" si="199"/>
        <v>-0.178623410155055+0.0398393815449712i</v>
      </c>
      <c r="AQ284" s="98">
        <f t="shared" si="200"/>
        <v>-14.750394804935674</v>
      </c>
      <c r="AR284" s="169">
        <f t="shared" si="201"/>
        <v>167.42678928399738</v>
      </c>
      <c r="AS284" s="168" t="e">
        <f t="shared" si="202"/>
        <v>#DIV/0!</v>
      </c>
      <c r="AT284" s="190" t="e">
        <f t="shared" si="203"/>
        <v>#DIV/0!</v>
      </c>
      <c r="AU284" s="169" t="e">
        <f t="shared" si="204"/>
        <v>#DIV/0!</v>
      </c>
      <c r="AV284" s="225"/>
      <c r="AX284" t="e">
        <f t="shared" si="205"/>
        <v>#DIV/0!</v>
      </c>
      <c r="AY284" t="e">
        <f t="shared" si="206"/>
        <v>#DIV/0!</v>
      </c>
    </row>
    <row r="285" spans="14:51" x14ac:dyDescent="0.25">
      <c r="N285" s="170">
        <v>67</v>
      </c>
      <c r="O285" s="199">
        <f t="shared" si="207"/>
        <v>4677.3514128719844</v>
      </c>
      <c r="P285" s="189" t="str">
        <f t="shared" si="173"/>
        <v>290</v>
      </c>
      <c r="Q285" s="160" t="e">
        <f t="shared" si="174"/>
        <v>#DIV/0!</v>
      </c>
      <c r="R285" s="160" t="e">
        <f t="shared" si="182"/>
        <v>#DIV/0!</v>
      </c>
      <c r="S285" s="160" t="e">
        <f t="shared" si="183"/>
        <v>#DIV/0!</v>
      </c>
      <c r="T285" s="160" t="e">
        <f t="shared" si="175"/>
        <v>#DIV/0!</v>
      </c>
      <c r="U285" s="160" t="e">
        <f t="shared" si="184"/>
        <v>#DIV/0!</v>
      </c>
      <c r="V285" s="160" t="e">
        <f t="shared" si="185"/>
        <v>#DIV/0!</v>
      </c>
      <c r="W285" s="98" t="str">
        <f t="shared" si="176"/>
        <v>1-0.234190929588675i</v>
      </c>
      <c r="X285" s="160">
        <f t="shared" si="186"/>
        <v>1.0270566642116723</v>
      </c>
      <c r="Y285" s="160">
        <f t="shared" si="187"/>
        <v>-0.23004509451328628</v>
      </c>
      <c r="Z285" s="98" t="str">
        <f t="shared" si="177"/>
        <v>0.999547983135548+0.0278095938663859i</v>
      </c>
      <c r="AA285" s="160">
        <f t="shared" si="188"/>
        <v>0.99993476992319608</v>
      </c>
      <c r="AB285" s="160">
        <f t="shared" si="189"/>
        <v>2.7814994490555075E-2</v>
      </c>
      <c r="AC285" s="171" t="e">
        <f t="shared" si="190"/>
        <v>#DIV/0!</v>
      </c>
      <c r="AD285" s="190" t="e">
        <f t="shared" si="191"/>
        <v>#DIV/0!</v>
      </c>
      <c r="AE285" s="169" t="e">
        <f t="shared" si="192"/>
        <v>#DIV/0!</v>
      </c>
      <c r="AF285" s="98" t="str">
        <f t="shared" si="178"/>
        <v>-0.0000182926829268293</v>
      </c>
      <c r="AG285" s="98" t="str">
        <f t="shared" si="179"/>
        <v>0.000653016151273457i</v>
      </c>
      <c r="AH285" s="98">
        <f t="shared" si="193"/>
        <v>6.5301615127345695E-4</v>
      </c>
      <c r="AI285" s="98">
        <f t="shared" si="194"/>
        <v>1.5707963267948966</v>
      </c>
      <c r="AJ285" s="98" t="str">
        <f t="shared" si="180"/>
        <v>1+0.0640149153292281i</v>
      </c>
      <c r="AK285" s="98">
        <f t="shared" si="195"/>
        <v>1.002046859874631</v>
      </c>
      <c r="AL285" s="98">
        <f t="shared" si="196"/>
        <v>6.3927687259867458E-2</v>
      </c>
      <c r="AM285" s="98" t="str">
        <f t="shared" si="181"/>
        <v>1+6.46550644825203i</v>
      </c>
      <c r="AN285" s="98">
        <f t="shared" si="197"/>
        <v>6.5423828711249064</v>
      </c>
      <c r="AO285" s="98">
        <f t="shared" si="198"/>
        <v>1.41734530381543</v>
      </c>
      <c r="AP285" s="168" t="str">
        <f t="shared" si="199"/>
        <v>-0.178590599966635+0.0394450662512335i</v>
      </c>
      <c r="AQ285" s="98">
        <f t="shared" si="200"/>
        <v>-14.755971830872522</v>
      </c>
      <c r="AR285" s="169">
        <f t="shared" si="201"/>
        <v>167.54511734728891</v>
      </c>
      <c r="AS285" s="168" t="e">
        <f t="shared" si="202"/>
        <v>#DIV/0!</v>
      </c>
      <c r="AT285" s="190" t="e">
        <f t="shared" si="203"/>
        <v>#DIV/0!</v>
      </c>
      <c r="AU285" s="169" t="e">
        <f t="shared" si="204"/>
        <v>#DIV/0!</v>
      </c>
      <c r="AV285" s="225"/>
      <c r="AX285" t="e">
        <f t="shared" si="205"/>
        <v>#DIV/0!</v>
      </c>
      <c r="AY285" t="e">
        <f t="shared" si="206"/>
        <v>#DIV/0!</v>
      </c>
    </row>
    <row r="286" spans="14:51" x14ac:dyDescent="0.25">
      <c r="N286" s="170">
        <v>68</v>
      </c>
      <c r="O286" s="199">
        <f t="shared" si="207"/>
        <v>4786.3009232263848</v>
      </c>
      <c r="P286" s="189" t="str">
        <f t="shared" si="173"/>
        <v>290</v>
      </c>
      <c r="Q286" s="160" t="e">
        <f t="shared" si="174"/>
        <v>#DIV/0!</v>
      </c>
      <c r="R286" s="160" t="e">
        <f t="shared" si="182"/>
        <v>#DIV/0!</v>
      </c>
      <c r="S286" s="160" t="e">
        <f t="shared" si="183"/>
        <v>#DIV/0!</v>
      </c>
      <c r="T286" s="160" t="e">
        <f t="shared" si="175"/>
        <v>#DIV/0!</v>
      </c>
      <c r="U286" s="160" t="e">
        <f t="shared" si="184"/>
        <v>#DIV/0!</v>
      </c>
      <c r="V286" s="160" t="e">
        <f t="shared" si="185"/>
        <v>#DIV/0!</v>
      </c>
      <c r="W286" s="98" t="str">
        <f t="shared" si="176"/>
        <v>1-0.239645937103807i</v>
      </c>
      <c r="X286" s="160">
        <f t="shared" si="186"/>
        <v>1.0283142395057854</v>
      </c>
      <c r="Y286" s="160">
        <f t="shared" si="187"/>
        <v>-0.23521017424093155</v>
      </c>
      <c r="Z286" s="98" t="str">
        <f t="shared" si="177"/>
        <v>0.999526680237032+0.0284573625216466i</v>
      </c>
      <c r="AA286" s="160">
        <f t="shared" si="188"/>
        <v>0.99993170066127524</v>
      </c>
      <c r="AB286" s="160">
        <f t="shared" si="189"/>
        <v>2.8463149358644406E-2</v>
      </c>
      <c r="AC286" s="171" t="e">
        <f t="shared" si="190"/>
        <v>#DIV/0!</v>
      </c>
      <c r="AD286" s="190" t="e">
        <f t="shared" si="191"/>
        <v>#DIV/0!</v>
      </c>
      <c r="AE286" s="169" t="e">
        <f t="shared" si="192"/>
        <v>#DIV/0!</v>
      </c>
      <c r="AF286" s="98" t="str">
        <f t="shared" si="178"/>
        <v>-0.0000182926829268293</v>
      </c>
      <c r="AG286" s="98" t="str">
        <f t="shared" si="179"/>
        <v>0.000668226851444277i</v>
      </c>
      <c r="AH286" s="98">
        <f t="shared" si="193"/>
        <v>6.6822685144427702E-4</v>
      </c>
      <c r="AI286" s="98">
        <f t="shared" si="194"/>
        <v>1.5707963267948966</v>
      </c>
      <c r="AJ286" s="98" t="str">
        <f t="shared" si="180"/>
        <v>1+0.065506014257845i</v>
      </c>
      <c r="AK286" s="98">
        <f t="shared" si="195"/>
        <v>1.0021432222511655</v>
      </c>
      <c r="AL286" s="98">
        <f t="shared" si="196"/>
        <v>6.5412558490078015E-2</v>
      </c>
      <c r="AM286" s="98" t="str">
        <f t="shared" si="181"/>
        <v>1+6.61610744004234i</v>
      </c>
      <c r="AN286" s="98">
        <f t="shared" si="197"/>
        <v>6.6912538180959489</v>
      </c>
      <c r="AO286" s="98">
        <f t="shared" si="198"/>
        <v>1.420785515988223</v>
      </c>
      <c r="AP286" s="168" t="str">
        <f t="shared" si="199"/>
        <v>-0.178556256398051+0.0390714680752718i</v>
      </c>
      <c r="AQ286" s="98">
        <f t="shared" si="200"/>
        <v>-14.761376113245044</v>
      </c>
      <c r="AR286" s="169">
        <f t="shared" si="201"/>
        <v>167.65715013080802</v>
      </c>
      <c r="AS286" s="168" t="e">
        <f t="shared" si="202"/>
        <v>#DIV/0!</v>
      </c>
      <c r="AT286" s="190" t="e">
        <f t="shared" si="203"/>
        <v>#DIV/0!</v>
      </c>
      <c r="AU286" s="169" t="e">
        <f t="shared" si="204"/>
        <v>#DIV/0!</v>
      </c>
      <c r="AV286" s="225"/>
      <c r="AX286" t="e">
        <f t="shared" si="205"/>
        <v>#DIV/0!</v>
      </c>
      <c r="AY286" t="e">
        <f t="shared" si="206"/>
        <v>#DIV/0!</v>
      </c>
    </row>
    <row r="287" spans="14:51" x14ac:dyDescent="0.25">
      <c r="N287" s="170">
        <v>69</v>
      </c>
      <c r="O287" s="199">
        <f t="shared" si="207"/>
        <v>4897.7881936844633</v>
      </c>
      <c r="P287" s="189" t="str">
        <f t="shared" si="173"/>
        <v>290</v>
      </c>
      <c r="Q287" s="160" t="e">
        <f t="shared" si="174"/>
        <v>#DIV/0!</v>
      </c>
      <c r="R287" s="160" t="e">
        <f t="shared" si="182"/>
        <v>#DIV/0!</v>
      </c>
      <c r="S287" s="160" t="e">
        <f t="shared" si="183"/>
        <v>#DIV/0!</v>
      </c>
      <c r="T287" s="160" t="e">
        <f t="shared" si="175"/>
        <v>#DIV/0!</v>
      </c>
      <c r="U287" s="160" t="e">
        <f t="shared" si="184"/>
        <v>#DIV/0!</v>
      </c>
      <c r="V287" s="160" t="e">
        <f t="shared" si="185"/>
        <v>#DIV/0!</v>
      </c>
      <c r="W287" s="98" t="str">
        <f t="shared" si="176"/>
        <v>1-0.245228008066881i</v>
      </c>
      <c r="X287" s="160">
        <f t="shared" si="186"/>
        <v>1.0296294362247276</v>
      </c>
      <c r="Y287" s="160">
        <f t="shared" si="187"/>
        <v>-0.240482358319734</v>
      </c>
      <c r="Z287" s="98" t="str">
        <f t="shared" si="177"/>
        <v>0.999504373363839+0.0291202196471939i</v>
      </c>
      <c r="AA287" s="160">
        <f t="shared" si="188"/>
        <v>0.99992848722583227</v>
      </c>
      <c r="AB287" s="160">
        <f t="shared" si="189"/>
        <v>2.9126420314290614E-2</v>
      </c>
      <c r="AC287" s="171" t="e">
        <f t="shared" si="190"/>
        <v>#DIV/0!</v>
      </c>
      <c r="AD287" s="190" t="e">
        <f t="shared" si="191"/>
        <v>#DIV/0!</v>
      </c>
      <c r="AE287" s="169" t="e">
        <f t="shared" si="192"/>
        <v>#DIV/0!</v>
      </c>
      <c r="AF287" s="98" t="str">
        <f t="shared" si="178"/>
        <v>-0.0000182926829268293</v>
      </c>
      <c r="AG287" s="98" t="str">
        <f t="shared" si="179"/>
        <v>0.000683791854336761i</v>
      </c>
      <c r="AH287" s="98">
        <f t="shared" si="193"/>
        <v>6.8379185433676095E-4</v>
      </c>
      <c r="AI287" s="98">
        <f t="shared" si="194"/>
        <v>1.5707963267948966</v>
      </c>
      <c r="AJ287" s="98" t="str">
        <f t="shared" si="180"/>
        <v>1+0.067031845342296i</v>
      </c>
      <c r="AK287" s="98">
        <f t="shared" si="195"/>
        <v>1.0022441161164246</v>
      </c>
      <c r="AL287" s="98">
        <f t="shared" si="196"/>
        <v>6.6931717788939027E-2</v>
      </c>
      <c r="AM287" s="98" t="str">
        <f t="shared" si="181"/>
        <v>1+6.77021637957189i</v>
      </c>
      <c r="AN287" s="98">
        <f t="shared" si="197"/>
        <v>6.8436707859323196</v>
      </c>
      <c r="AO287" s="98">
        <f t="shared" si="198"/>
        <v>1.4241508799351987</v>
      </c>
      <c r="AP287" s="168" t="str">
        <f t="shared" si="199"/>
        <v>-0.178520308421293+0.0387183749502721i</v>
      </c>
      <c r="AQ287" s="98">
        <f t="shared" si="200"/>
        <v>-14.766618438472266</v>
      </c>
      <c r="AR287" s="169">
        <f t="shared" si="201"/>
        <v>167.76292986526246</v>
      </c>
      <c r="AS287" s="168" t="e">
        <f t="shared" si="202"/>
        <v>#DIV/0!</v>
      </c>
      <c r="AT287" s="190" t="e">
        <f t="shared" si="203"/>
        <v>#DIV/0!</v>
      </c>
      <c r="AU287" s="169" t="e">
        <f t="shared" si="204"/>
        <v>#DIV/0!</v>
      </c>
      <c r="AV287" s="225"/>
      <c r="AX287" t="e">
        <f t="shared" si="205"/>
        <v>#DIV/0!</v>
      </c>
      <c r="AY287" t="e">
        <f t="shared" si="206"/>
        <v>#DIV/0!</v>
      </c>
    </row>
    <row r="288" spans="14:51" x14ac:dyDescent="0.25">
      <c r="N288" s="170">
        <v>70</v>
      </c>
      <c r="O288" s="199">
        <f t="shared" si="207"/>
        <v>5011.8723362727324</v>
      </c>
      <c r="P288" s="189" t="str">
        <f t="shared" si="173"/>
        <v>290</v>
      </c>
      <c r="Q288" s="160" t="e">
        <f t="shared" si="174"/>
        <v>#DIV/0!</v>
      </c>
      <c r="R288" s="160" t="e">
        <f t="shared" si="182"/>
        <v>#DIV/0!</v>
      </c>
      <c r="S288" s="160" t="e">
        <f t="shared" si="183"/>
        <v>#DIV/0!</v>
      </c>
      <c r="T288" s="160" t="e">
        <f t="shared" si="175"/>
        <v>#DIV/0!</v>
      </c>
      <c r="U288" s="160" t="e">
        <f t="shared" si="184"/>
        <v>#DIV/0!</v>
      </c>
      <c r="V288" s="160" t="e">
        <f t="shared" si="185"/>
        <v>#DIV/0!</v>
      </c>
      <c r="W288" s="98" t="str">
        <f t="shared" si="176"/>
        <v>1-0.250940102165808i</v>
      </c>
      <c r="X288" s="160">
        <f t="shared" si="186"/>
        <v>1.0310048180658449</v>
      </c>
      <c r="Y288" s="160">
        <f t="shared" si="187"/>
        <v>-0.24586326925915025</v>
      </c>
      <c r="Z288" s="98" t="str">
        <f t="shared" si="177"/>
        <v>0.999481015200101+0.02979851669865i</v>
      </c>
      <c r="AA288" s="160">
        <f t="shared" si="188"/>
        <v>0.99992512286813973</v>
      </c>
      <c r="AB288" s="160">
        <f t="shared" si="189"/>
        <v>2.9805160787746122E-2</v>
      </c>
      <c r="AC288" s="171" t="e">
        <f t="shared" si="190"/>
        <v>#DIV/0!</v>
      </c>
      <c r="AD288" s="190" t="e">
        <f t="shared" si="191"/>
        <v>#DIV/0!</v>
      </c>
      <c r="AE288" s="169" t="e">
        <f t="shared" si="192"/>
        <v>#DIV/0!</v>
      </c>
      <c r="AF288" s="98" t="str">
        <f t="shared" si="178"/>
        <v>-0.0000182926829268293</v>
      </c>
      <c r="AG288" s="98" t="str">
        <f t="shared" si="179"/>
        <v>0.000699719412721471i</v>
      </c>
      <c r="AH288" s="98">
        <f t="shared" si="193"/>
        <v>6.9971941272147105E-4</v>
      </c>
      <c r="AI288" s="98">
        <f t="shared" si="194"/>
        <v>1.5707963267948966</v>
      </c>
      <c r="AJ288" s="98" t="str">
        <f t="shared" si="180"/>
        <v>1+0.068593217598419i</v>
      </c>
      <c r="AK288" s="98">
        <f t="shared" si="195"/>
        <v>1.0023497540781381</v>
      </c>
      <c r="AL288" s="98">
        <f t="shared" si="196"/>
        <v>6.8485942571156477E-2</v>
      </c>
      <c r="AM288" s="98" t="str">
        <f t="shared" si="181"/>
        <v>1+6.92791497744031i</v>
      </c>
      <c r="AN288" s="98">
        <f t="shared" si="197"/>
        <v>6.9997147038034182</v>
      </c>
      <c r="AO288" s="98">
        <f t="shared" si="198"/>
        <v>1.4274428749388397</v>
      </c>
      <c r="AP288" s="168" t="str">
        <f t="shared" si="199"/>
        <v>-0.178482681779142+0.0383855846963949i</v>
      </c>
      <c r="AQ288" s="98">
        <f t="shared" si="200"/>
        <v>-14.771709303277426</v>
      </c>
      <c r="AR288" s="169">
        <f t="shared" si="201"/>
        <v>167.86249676471351</v>
      </c>
      <c r="AS288" s="168" t="e">
        <f t="shared" si="202"/>
        <v>#DIV/0!</v>
      </c>
      <c r="AT288" s="190" t="e">
        <f t="shared" si="203"/>
        <v>#DIV/0!</v>
      </c>
      <c r="AU288" s="169" t="e">
        <f t="shared" si="204"/>
        <v>#DIV/0!</v>
      </c>
      <c r="AV288" s="225"/>
      <c r="AX288" t="e">
        <f t="shared" si="205"/>
        <v>#DIV/0!</v>
      </c>
      <c r="AY288" t="e">
        <f t="shared" si="206"/>
        <v>#DIV/0!</v>
      </c>
    </row>
    <row r="289" spans="14:51" x14ac:dyDescent="0.25">
      <c r="N289" s="170">
        <v>71</v>
      </c>
      <c r="O289" s="199">
        <f t="shared" si="207"/>
        <v>5128.6138399136489</v>
      </c>
      <c r="P289" s="189" t="str">
        <f t="shared" si="173"/>
        <v>290</v>
      </c>
      <c r="Q289" s="160" t="e">
        <f t="shared" si="174"/>
        <v>#DIV/0!</v>
      </c>
      <c r="R289" s="160" t="e">
        <f t="shared" si="182"/>
        <v>#DIV/0!</v>
      </c>
      <c r="S289" s="160" t="e">
        <f t="shared" si="183"/>
        <v>#DIV/0!</v>
      </c>
      <c r="T289" s="160" t="e">
        <f t="shared" si="175"/>
        <v>#DIV/0!</v>
      </c>
      <c r="U289" s="160" t="e">
        <f t="shared" si="184"/>
        <v>#DIV/0!</v>
      </c>
      <c r="V289" s="160" t="e">
        <f t="shared" si="185"/>
        <v>#DIV/0!</v>
      </c>
      <c r="W289" s="98" t="str">
        <f t="shared" si="176"/>
        <v>1-0.256785248028486i</v>
      </c>
      <c r="X289" s="160">
        <f t="shared" si="186"/>
        <v>1.0324430558655771</v>
      </c>
      <c r="Y289" s="160">
        <f t="shared" si="187"/>
        <v>-0.25135451315402568</v>
      </c>
      <c r="Z289" s="98" t="str">
        <f t="shared" si="177"/>
        <v>0.999456556200022+0.0304926133180894i</v>
      </c>
      <c r="AA289" s="160">
        <f t="shared" si="188"/>
        <v>0.99992160052584844</v>
      </c>
      <c r="AB289" s="160">
        <f t="shared" si="189"/>
        <v>3.0499732536874102E-2</v>
      </c>
      <c r="AC289" s="171" t="e">
        <f t="shared" si="190"/>
        <v>#DIV/0!</v>
      </c>
      <c r="AD289" s="190" t="e">
        <f t="shared" si="191"/>
        <v>#DIV/0!</v>
      </c>
      <c r="AE289" s="169" t="e">
        <f t="shared" si="192"/>
        <v>#DIV/0!</v>
      </c>
      <c r="AF289" s="98" t="str">
        <f t="shared" si="178"/>
        <v>-0.0000182926829268293</v>
      </c>
      <c r="AG289" s="98" t="str">
        <f t="shared" si="179"/>
        <v>0.000716017971600685i</v>
      </c>
      <c r="AH289" s="98">
        <f t="shared" si="193"/>
        <v>7.16017971600685E-4</v>
      </c>
      <c r="AI289" s="98">
        <f t="shared" si="194"/>
        <v>1.5707963267948966</v>
      </c>
      <c r="AJ289" s="98" t="str">
        <f t="shared" si="180"/>
        <v>1+0.0701909588864508i</v>
      </c>
      <c r="AK289" s="98">
        <f t="shared" si="195"/>
        <v>1.0024603586723015</v>
      </c>
      <c r="AL289" s="98">
        <f t="shared" si="196"/>
        <v>7.0076026855124138E-2</v>
      </c>
      <c r="AM289" s="98" t="str">
        <f t="shared" si="181"/>
        <v>1+7.08928684753152i</v>
      </c>
      <c r="AN289" s="98">
        <f t="shared" si="197"/>
        <v>7.1594684164806122</v>
      </c>
      <c r="AO289" s="98">
        <f t="shared" si="198"/>
        <v>1.4306629609010963</v>
      </c>
      <c r="AP289" s="168" t="str">
        <f t="shared" si="199"/>
        <v>-0.178443298844207+0.0380729048449076i</v>
      </c>
      <c r="AQ289" s="98">
        <f t="shared" si="200"/>
        <v>-14.776658932032118</v>
      </c>
      <c r="AR289" s="169">
        <f t="shared" si="201"/>
        <v>167.95588898147869</v>
      </c>
      <c r="AS289" s="168" t="e">
        <f t="shared" si="202"/>
        <v>#DIV/0!</v>
      </c>
      <c r="AT289" s="190" t="e">
        <f t="shared" si="203"/>
        <v>#DIV/0!</v>
      </c>
      <c r="AU289" s="169" t="e">
        <f t="shared" si="204"/>
        <v>#DIV/0!</v>
      </c>
      <c r="AV289" s="225"/>
      <c r="AX289" t="e">
        <f t="shared" si="205"/>
        <v>#DIV/0!</v>
      </c>
      <c r="AY289" t="e">
        <f t="shared" si="206"/>
        <v>#DIV/0!</v>
      </c>
    </row>
    <row r="290" spans="14:51" x14ac:dyDescent="0.25">
      <c r="N290" s="170">
        <v>72</v>
      </c>
      <c r="O290" s="199">
        <f t="shared" si="207"/>
        <v>5248.0746024977261</v>
      </c>
      <c r="P290" s="189" t="str">
        <f t="shared" si="173"/>
        <v>290</v>
      </c>
      <c r="Q290" s="160" t="e">
        <f t="shared" si="174"/>
        <v>#DIV/0!</v>
      </c>
      <c r="R290" s="160" t="e">
        <f t="shared" si="182"/>
        <v>#DIV/0!</v>
      </c>
      <c r="S290" s="160" t="e">
        <f t="shared" si="183"/>
        <v>#DIV/0!</v>
      </c>
      <c r="T290" s="160" t="e">
        <f t="shared" si="175"/>
        <v>#DIV/0!</v>
      </c>
      <c r="U290" s="160" t="e">
        <f t="shared" si="184"/>
        <v>#DIV/0!</v>
      </c>
      <c r="V290" s="160" t="e">
        <f t="shared" si="185"/>
        <v>#DIV/0!</v>
      </c>
      <c r="W290" s="98" t="str">
        <f t="shared" si="176"/>
        <v>1-0.262766544828626i</v>
      </c>
      <c r="X290" s="160">
        <f t="shared" si="186"/>
        <v>1.0339469314627199</v>
      </c>
      <c r="Y290" s="160">
        <f t="shared" si="187"/>
        <v>-0.25695767632023464</v>
      </c>
      <c r="Z290" s="98" t="str">
        <f t="shared" si="177"/>
        <v>0.999430944482781+0.0312028775247278i</v>
      </c>
      <c r="AA290" s="160">
        <f t="shared" si="188"/>
        <v>0.99991791280862985</v>
      </c>
      <c r="AB290" s="160">
        <f t="shared" si="189"/>
        <v>3.1210505847925039E-2</v>
      </c>
      <c r="AC290" s="171" t="e">
        <f t="shared" si="190"/>
        <v>#DIV/0!</v>
      </c>
      <c r="AD290" s="190" t="e">
        <f t="shared" si="191"/>
        <v>#DIV/0!</v>
      </c>
      <c r="AE290" s="169" t="e">
        <f t="shared" si="192"/>
        <v>#DIV/0!</v>
      </c>
      <c r="AF290" s="98" t="str">
        <f t="shared" si="178"/>
        <v>-0.0000182926829268293</v>
      </c>
      <c r="AG290" s="98" t="str">
        <f t="shared" si="179"/>
        <v>0.000732696172686061i</v>
      </c>
      <c r="AH290" s="98">
        <f t="shared" si="193"/>
        <v>7.32696172686061E-4</v>
      </c>
      <c r="AI290" s="98">
        <f t="shared" si="194"/>
        <v>1.5707963267948966</v>
      </c>
      <c r="AJ290" s="98" t="str">
        <f t="shared" si="180"/>
        <v>1+0.0718259163499717i</v>
      </c>
      <c r="AK290" s="98">
        <f t="shared" si="195"/>
        <v>1.0025761628223131</v>
      </c>
      <c r="AL290" s="98">
        <f t="shared" si="196"/>
        <v>7.1702781543960759E-2</v>
      </c>
      <c r="AM290" s="98" t="str">
        <f t="shared" si="181"/>
        <v>1+7.25441755134714i</v>
      </c>
      <c r="AN290" s="98">
        <f t="shared" si="197"/>
        <v>7.3230167287323225</v>
      </c>
      <c r="AO290" s="98">
        <f t="shared" si="198"/>
        <v>1.4338125779031992</v>
      </c>
      <c r="AP290" s="168" t="str">
        <f t="shared" si="199"/>
        <v>-0.178402078472384+0.0377801524627707i</v>
      </c>
      <c r="AQ290" s="98">
        <f t="shared" si="200"/>
        <v>-14.781477293892484</v>
      </c>
      <c r="AR290" s="169">
        <f t="shared" si="201"/>
        <v>168.04314256480839</v>
      </c>
      <c r="AS290" s="168" t="e">
        <f t="shared" si="202"/>
        <v>#DIV/0!</v>
      </c>
      <c r="AT290" s="190" t="e">
        <f t="shared" si="203"/>
        <v>#DIV/0!</v>
      </c>
      <c r="AU290" s="169" t="e">
        <f t="shared" si="204"/>
        <v>#DIV/0!</v>
      </c>
      <c r="AV290" s="225"/>
      <c r="AX290" t="e">
        <f t="shared" si="205"/>
        <v>#DIV/0!</v>
      </c>
      <c r="AY290" t="e">
        <f t="shared" si="206"/>
        <v>#DIV/0!</v>
      </c>
    </row>
    <row r="291" spans="14:51" x14ac:dyDescent="0.25">
      <c r="N291" s="170">
        <v>73</v>
      </c>
      <c r="O291" s="199">
        <f t="shared" si="207"/>
        <v>5370.3179637025269</v>
      </c>
      <c r="P291" s="189" t="str">
        <f t="shared" si="173"/>
        <v>290</v>
      </c>
      <c r="Q291" s="160" t="e">
        <f t="shared" si="174"/>
        <v>#DIV/0!</v>
      </c>
      <c r="R291" s="160" t="e">
        <f t="shared" si="182"/>
        <v>#DIV/0!</v>
      </c>
      <c r="S291" s="160" t="e">
        <f t="shared" si="183"/>
        <v>#DIV/0!</v>
      </c>
      <c r="T291" s="160" t="e">
        <f t="shared" si="175"/>
        <v>#DIV/0!</v>
      </c>
      <c r="U291" s="160" t="e">
        <f t="shared" si="184"/>
        <v>#DIV/0!</v>
      </c>
      <c r="V291" s="160" t="e">
        <f t="shared" si="185"/>
        <v>#DIV/0!</v>
      </c>
      <c r="W291" s="98" t="str">
        <f t="shared" si="176"/>
        <v>1-0.268887163928959i</v>
      </c>
      <c r="X291" s="160">
        <f t="shared" si="186"/>
        <v>1.0355193416473489</v>
      </c>
      <c r="Y291" s="160">
        <f t="shared" si="187"/>
        <v>-0.26267432173156169</v>
      </c>
      <c r="Z291" s="98" t="str">
        <f t="shared" si="177"/>
        <v>0.999404125722494+0.0319296859100485i</v>
      </c>
      <c r="AA291" s="160">
        <f t="shared" si="188"/>
        <v>0.99991405198319772</v>
      </c>
      <c r="AB291" s="160">
        <f t="shared" si="189"/>
        <v>3.1937859741470863E-2</v>
      </c>
      <c r="AC291" s="171" t="e">
        <f t="shared" si="190"/>
        <v>#DIV/0!</v>
      </c>
      <c r="AD291" s="190" t="e">
        <f t="shared" si="191"/>
        <v>#DIV/0!</v>
      </c>
      <c r="AE291" s="169" t="e">
        <f t="shared" si="192"/>
        <v>#DIV/0!</v>
      </c>
      <c r="AF291" s="98" t="str">
        <f t="shared" si="178"/>
        <v>-0.0000182926829268293</v>
      </c>
      <c r="AG291" s="98" t="str">
        <f t="shared" si="179"/>
        <v>0.000749762858980575i</v>
      </c>
      <c r="AH291" s="98">
        <f t="shared" si="193"/>
        <v>7.4976285898057499E-4</v>
      </c>
      <c r="AI291" s="98">
        <f t="shared" si="194"/>
        <v>1.5707963267948966</v>
      </c>
      <c r="AJ291" s="98" t="str">
        <f t="shared" si="180"/>
        <v>1+0.0734989568650696i</v>
      </c>
      <c r="AK291" s="98">
        <f t="shared" si="195"/>
        <v>1.0026974103189124</v>
      </c>
      <c r="AL291" s="98">
        <f t="shared" si="196"/>
        <v>7.3367034705756548E-2</v>
      </c>
      <c r="AM291" s="98" t="str">
        <f t="shared" si="181"/>
        <v>1+7.42339464337202i</v>
      </c>
      <c r="AN291" s="98">
        <f t="shared" si="197"/>
        <v>7.4904464507293831</v>
      </c>
      <c r="AO291" s="98">
        <f t="shared" si="198"/>
        <v>1.436893145826776</v>
      </c>
      <c r="AP291" s="168" t="str">
        <f t="shared" si="199"/>
        <v>-0.178358935850557+0.0375071539772723i</v>
      </c>
      <c r="AQ291" s="98">
        <f t="shared" si="200"/>
        <v>-14.786174119731577</v>
      </c>
      <c r="AR291" s="169">
        <f t="shared" si="201"/>
        <v>168.12429142312047</v>
      </c>
      <c r="AS291" s="168" t="e">
        <f t="shared" si="202"/>
        <v>#DIV/0!</v>
      </c>
      <c r="AT291" s="190" t="e">
        <f t="shared" si="203"/>
        <v>#DIV/0!</v>
      </c>
      <c r="AU291" s="169" t="e">
        <f t="shared" si="204"/>
        <v>#DIV/0!</v>
      </c>
      <c r="AV291" s="225"/>
      <c r="AX291" t="e">
        <f t="shared" si="205"/>
        <v>#DIV/0!</v>
      </c>
      <c r="AY291" t="e">
        <f t="shared" si="206"/>
        <v>#DIV/0!</v>
      </c>
    </row>
    <row r="292" spans="14:51" x14ac:dyDescent="0.25">
      <c r="N292" s="170">
        <v>74</v>
      </c>
      <c r="O292" s="199">
        <f t="shared" si="207"/>
        <v>5495.4087385762541</v>
      </c>
      <c r="P292" s="189" t="str">
        <f t="shared" si="173"/>
        <v>290</v>
      </c>
      <c r="Q292" s="160" t="e">
        <f t="shared" si="174"/>
        <v>#DIV/0!</v>
      </c>
      <c r="R292" s="160" t="e">
        <f t="shared" si="182"/>
        <v>#DIV/0!</v>
      </c>
      <c r="S292" s="160" t="e">
        <f t="shared" si="183"/>
        <v>#DIV/0!</v>
      </c>
      <c r="T292" s="160" t="e">
        <f t="shared" si="175"/>
        <v>#DIV/0!</v>
      </c>
      <c r="U292" s="160" t="e">
        <f t="shared" si="184"/>
        <v>#DIV/0!</v>
      </c>
      <c r="V292" s="160" t="e">
        <f t="shared" si="185"/>
        <v>#DIV/0!</v>
      </c>
      <c r="W292" s="98" t="str">
        <f t="shared" si="176"/>
        <v>1-0.275150350562751i</v>
      </c>
      <c r="X292" s="160">
        <f t="shared" si="186"/>
        <v>1.0371633021924775</v>
      </c>
      <c r="Y292" s="160">
        <f t="shared" si="187"/>
        <v>-0.26850598525347696</v>
      </c>
      <c r="Z292" s="98" t="str">
        <f t="shared" si="177"/>
        <v>0.999376043032975+0.0326734238374782i</v>
      </c>
      <c r="AA292" s="160">
        <f t="shared" si="188"/>
        <v>0.99991000995765111</v>
      </c>
      <c r="AB292" s="160">
        <f t="shared" si="189"/>
        <v>3.2682182183660834E-2</v>
      </c>
      <c r="AC292" s="171" t="e">
        <f t="shared" si="190"/>
        <v>#DIV/0!</v>
      </c>
      <c r="AD292" s="190" t="e">
        <f t="shared" si="191"/>
        <v>#DIV/0!</v>
      </c>
      <c r="AE292" s="169" t="e">
        <f t="shared" si="192"/>
        <v>#DIV/0!</v>
      </c>
      <c r="AF292" s="98" t="str">
        <f t="shared" si="178"/>
        <v>-0.0000182926829268293</v>
      </c>
      <c r="AG292" s="98" t="str">
        <f t="shared" si="179"/>
        <v>0.000767227079467207i</v>
      </c>
      <c r="AH292" s="98">
        <f t="shared" si="193"/>
        <v>7.67227079467207E-4</v>
      </c>
      <c r="AI292" s="98">
        <f t="shared" si="194"/>
        <v>1.5707963267948966</v>
      </c>
      <c r="AJ292" s="98" t="str">
        <f t="shared" si="180"/>
        <v>1+0.0752109674999712i</v>
      </c>
      <c r="AK292" s="98">
        <f t="shared" si="195"/>
        <v>1.0028243563218247</v>
      </c>
      <c r="AL292" s="98">
        <f t="shared" si="196"/>
        <v>7.5069631852523147E-2</v>
      </c>
      <c r="AM292" s="98" t="str">
        <f t="shared" si="181"/>
        <v>1+7.59630771749708i</v>
      </c>
      <c r="AN292" s="98">
        <f t="shared" si="197"/>
        <v>7.6618464444874972</v>
      </c>
      <c r="AO292" s="98">
        <f t="shared" si="198"/>
        <v>1.4399060640322416</v>
      </c>
      <c r="AP292" s="168" t="str">
        <f t="shared" si="199"/>
        <v>-0.178313782338395+0.0372537450002891i</v>
      </c>
      <c r="AQ292" s="98">
        <f t="shared" si="200"/>
        <v>-14.790758918872292</v>
      </c>
      <c r="AR292" s="169">
        <f t="shared" si="201"/>
        <v>168.19936728959107</v>
      </c>
      <c r="AS292" s="168" t="e">
        <f t="shared" si="202"/>
        <v>#DIV/0!</v>
      </c>
      <c r="AT292" s="190" t="e">
        <f t="shared" si="203"/>
        <v>#DIV/0!</v>
      </c>
      <c r="AU292" s="169" t="e">
        <f t="shared" si="204"/>
        <v>#DIV/0!</v>
      </c>
      <c r="AV292" s="225"/>
      <c r="AX292" t="e">
        <f t="shared" si="205"/>
        <v>#DIV/0!</v>
      </c>
      <c r="AY292" t="e">
        <f t="shared" si="206"/>
        <v>#DIV/0!</v>
      </c>
    </row>
    <row r="293" spans="14:51" x14ac:dyDescent="0.25">
      <c r="N293" s="170">
        <v>75</v>
      </c>
      <c r="O293" s="199">
        <f t="shared" si="207"/>
        <v>5623.4132519034993</v>
      </c>
      <c r="P293" s="189" t="str">
        <f t="shared" si="173"/>
        <v>290</v>
      </c>
      <c r="Q293" s="160" t="e">
        <f t="shared" si="174"/>
        <v>#DIV/0!</v>
      </c>
      <c r="R293" s="160" t="e">
        <f t="shared" si="182"/>
        <v>#DIV/0!</v>
      </c>
      <c r="S293" s="160" t="e">
        <f t="shared" si="183"/>
        <v>#DIV/0!</v>
      </c>
      <c r="T293" s="160" t="e">
        <f t="shared" si="175"/>
        <v>#DIV/0!</v>
      </c>
      <c r="U293" s="160" t="e">
        <f t="shared" si="184"/>
        <v>#DIV/0!</v>
      </c>
      <c r="V293" s="160" t="e">
        <f t="shared" si="185"/>
        <v>#DIV/0!</v>
      </c>
      <c r="W293" s="98" t="str">
        <f t="shared" si="176"/>
        <v>1-0.281559425554455i</v>
      </c>
      <c r="X293" s="160">
        <f t="shared" si="186"/>
        <v>1.0388819519649741</v>
      </c>
      <c r="Y293" s="160">
        <f t="shared" si="187"/>
        <v>-0.27445417166997887</v>
      </c>
      <c r="Z293" s="98" t="str">
        <f t="shared" si="177"/>
        <v>0.999346636847073+0.0334344856467104i</v>
      </c>
      <c r="AA293" s="160">
        <f t="shared" si="188"/>
        <v>0.99990577826514038</v>
      </c>
      <c r="AB293" s="160">
        <f t="shared" si="189"/>
        <v>3.344387030295172E-2</v>
      </c>
      <c r="AC293" s="171" t="e">
        <f t="shared" si="190"/>
        <v>#DIV/0!</v>
      </c>
      <c r="AD293" s="190" t="e">
        <f t="shared" si="191"/>
        <v>#DIV/0!</v>
      </c>
      <c r="AE293" s="169" t="e">
        <f t="shared" si="192"/>
        <v>#DIV/0!</v>
      </c>
      <c r="AF293" s="98" t="str">
        <f t="shared" si="178"/>
        <v>-0.0000182926829268293</v>
      </c>
      <c r="AG293" s="98" t="str">
        <f t="shared" si="179"/>
        <v>0.000785098093906822i</v>
      </c>
      <c r="AH293" s="98">
        <f t="shared" si="193"/>
        <v>7.8509809390682201E-4</v>
      </c>
      <c r="AI293" s="98">
        <f t="shared" si="194"/>
        <v>1.5707963267948966</v>
      </c>
      <c r="AJ293" s="98" t="str">
        <f t="shared" si="180"/>
        <v>1+0.0769628559853761i</v>
      </c>
      <c r="AK293" s="98">
        <f t="shared" si="195"/>
        <v>1.0029572678840439</v>
      </c>
      <c r="AL293" s="98">
        <f t="shared" si="196"/>
        <v>7.6811436217279594E-2</v>
      </c>
      <c r="AM293" s="98" t="str">
        <f t="shared" si="181"/>
        <v>1+7.77324845452297i</v>
      </c>
      <c r="AN293" s="98">
        <f t="shared" si="197"/>
        <v>7.837307671371831</v>
      </c>
      <c r="AO293" s="98">
        <f t="shared" si="198"/>
        <v>1.4428527110905813</v>
      </c>
      <c r="AP293" s="168" t="str">
        <f t="shared" si="199"/>
        <v>-0.178266525304064+0.0370197701517319i</v>
      </c>
      <c r="AQ293" s="98">
        <f t="shared" si="200"/>
        <v>-14.795240995628467</v>
      </c>
      <c r="AR293" s="169">
        <f t="shared" si="201"/>
        <v>168.26839969091057</v>
      </c>
      <c r="AS293" s="168" t="e">
        <f t="shared" si="202"/>
        <v>#DIV/0!</v>
      </c>
      <c r="AT293" s="190" t="e">
        <f t="shared" si="203"/>
        <v>#DIV/0!</v>
      </c>
      <c r="AU293" s="169" t="e">
        <f t="shared" si="204"/>
        <v>#DIV/0!</v>
      </c>
      <c r="AV293" s="225"/>
      <c r="AX293" t="e">
        <f t="shared" si="205"/>
        <v>#DIV/0!</v>
      </c>
      <c r="AY293" t="e">
        <f t="shared" si="206"/>
        <v>#DIV/0!</v>
      </c>
    </row>
    <row r="294" spans="14:51" x14ac:dyDescent="0.25">
      <c r="N294" s="170">
        <v>76</v>
      </c>
      <c r="O294" s="199">
        <f t="shared" si="207"/>
        <v>5754.399373371567</v>
      </c>
      <c r="P294" s="189" t="str">
        <f t="shared" si="173"/>
        <v>290</v>
      </c>
      <c r="Q294" s="160" t="e">
        <f t="shared" si="174"/>
        <v>#DIV/0!</v>
      </c>
      <c r="R294" s="160" t="e">
        <f t="shared" si="182"/>
        <v>#DIV/0!</v>
      </c>
      <c r="S294" s="160" t="e">
        <f t="shared" si="183"/>
        <v>#DIV/0!</v>
      </c>
      <c r="T294" s="160" t="e">
        <f t="shared" si="175"/>
        <v>#DIV/0!</v>
      </c>
      <c r="U294" s="160" t="e">
        <f t="shared" si="184"/>
        <v>#DIV/0!</v>
      </c>
      <c r="V294" s="160" t="e">
        <f t="shared" si="185"/>
        <v>#DIV/0!</v>
      </c>
      <c r="W294" s="98" t="str">
        <f t="shared" si="176"/>
        <v>1-0.288117787080468i</v>
      </c>
      <c r="X294" s="160">
        <f t="shared" si="186"/>
        <v>1.040678557111727</v>
      </c>
      <c r="Y294" s="160">
        <f t="shared" si="187"/>
        <v>-0.28052035050051866</v>
      </c>
      <c r="Z294" s="98" t="str">
        <f t="shared" si="177"/>
        <v>0.999315844790325+0.0342132748627901i</v>
      </c>
      <c r="AA294" s="160">
        <f t="shared" si="188"/>
        <v>0.99990134804681485</v>
      </c>
      <c r="AB294" s="160">
        <f t="shared" si="189"/>
        <v>3.4223330612485205E-2</v>
      </c>
      <c r="AC294" s="171" t="e">
        <f t="shared" si="190"/>
        <v>#DIV/0!</v>
      </c>
      <c r="AD294" s="190" t="e">
        <f t="shared" si="191"/>
        <v>#DIV/0!</v>
      </c>
      <c r="AE294" s="169" t="e">
        <f t="shared" si="192"/>
        <v>#DIV/0!</v>
      </c>
      <c r="AF294" s="98" t="str">
        <f t="shared" si="178"/>
        <v>-0.0000182926829268293</v>
      </c>
      <c r="AG294" s="98" t="str">
        <f t="shared" si="179"/>
        <v>0.000803385377747827i</v>
      </c>
      <c r="AH294" s="98">
        <f t="shared" si="193"/>
        <v>8.0338537774782704E-4</v>
      </c>
      <c r="AI294" s="98">
        <f t="shared" si="194"/>
        <v>1.5707963267948966</v>
      </c>
      <c r="AJ294" s="98" t="str">
        <f t="shared" si="180"/>
        <v>1+0.078755551195748i</v>
      </c>
      <c r="AK294" s="98">
        <f t="shared" si="195"/>
        <v>1.0030964244997318</v>
      </c>
      <c r="AL294" s="98">
        <f t="shared" si="196"/>
        <v>7.8593329028672415E-2</v>
      </c>
      <c r="AM294" s="98" t="str">
        <f t="shared" si="181"/>
        <v>1+7.95431067077054i</v>
      </c>
      <c r="AN294" s="98">
        <f t="shared" si="197"/>
        <v>8.0169232406911615</v>
      </c>
      <c r="AO294" s="98">
        <f t="shared" si="198"/>
        <v>1.4457344445648737</v>
      </c>
      <c r="AP294" s="168" t="str">
        <f t="shared" si="199"/>
        <v>-0.17821706795371+0.0368050828817092i</v>
      </c>
      <c r="AQ294" s="98">
        <f t="shared" si="200"/>
        <v>-14.799629465661674</v>
      </c>
      <c r="AR294" s="169">
        <f t="shared" si="201"/>
        <v>168.3314159190316</v>
      </c>
      <c r="AS294" s="168" t="e">
        <f t="shared" si="202"/>
        <v>#DIV/0!</v>
      </c>
      <c r="AT294" s="190" t="e">
        <f t="shared" si="203"/>
        <v>#DIV/0!</v>
      </c>
      <c r="AU294" s="169" t="e">
        <f t="shared" si="204"/>
        <v>#DIV/0!</v>
      </c>
      <c r="AV294" s="225"/>
      <c r="AX294" t="e">
        <f t="shared" si="205"/>
        <v>#DIV/0!</v>
      </c>
      <c r="AY294" t="e">
        <f t="shared" si="206"/>
        <v>#DIV/0!</v>
      </c>
    </row>
    <row r="295" spans="14:51" x14ac:dyDescent="0.25">
      <c r="N295" s="170">
        <v>77</v>
      </c>
      <c r="O295" s="199">
        <f t="shared" si="207"/>
        <v>5888.4365535558973</v>
      </c>
      <c r="P295" s="189" t="str">
        <f t="shared" si="173"/>
        <v>290</v>
      </c>
      <c r="Q295" s="160" t="e">
        <f t="shared" si="174"/>
        <v>#DIV/0!</v>
      </c>
      <c r="R295" s="160" t="e">
        <f t="shared" si="182"/>
        <v>#DIV/0!</v>
      </c>
      <c r="S295" s="160" t="e">
        <f t="shared" si="183"/>
        <v>#DIV/0!</v>
      </c>
      <c r="T295" s="160" t="e">
        <f t="shared" si="175"/>
        <v>#DIV/0!</v>
      </c>
      <c r="U295" s="160" t="e">
        <f t="shared" si="184"/>
        <v>#DIV/0!</v>
      </c>
      <c r="V295" s="160" t="e">
        <f t="shared" si="185"/>
        <v>#DIV/0!</v>
      </c>
      <c r="W295" s="98" t="str">
        <f t="shared" si="176"/>
        <v>1-0.294828912470882i</v>
      </c>
      <c r="X295" s="160">
        <f t="shared" si="186"/>
        <v>1.0425565153164422</v>
      </c>
      <c r="Y295" s="160">
        <f t="shared" si="187"/>
        <v>-0.28670595160477647</v>
      </c>
      <c r="Z295" s="98" t="str">
        <f t="shared" si="177"/>
        <v>0.999283601548652+0.0350102044100685i</v>
      </c>
      <c r="AA295" s="160">
        <f t="shared" si="188"/>
        <v>0.99989671003403136</v>
      </c>
      <c r="AB295" s="160">
        <f t="shared" si="189"/>
        <v>3.50209792382844E-2</v>
      </c>
      <c r="AC295" s="171" t="e">
        <f t="shared" si="190"/>
        <v>#DIV/0!</v>
      </c>
      <c r="AD295" s="190" t="e">
        <f t="shared" si="191"/>
        <v>#DIV/0!</v>
      </c>
      <c r="AE295" s="169" t="e">
        <f t="shared" si="192"/>
        <v>#DIV/0!</v>
      </c>
      <c r="AF295" s="98" t="str">
        <f t="shared" si="178"/>
        <v>-0.0000182926829268293</v>
      </c>
      <c r="AG295" s="98" t="str">
        <f t="shared" si="179"/>
        <v>0.000822098627150179i</v>
      </c>
      <c r="AH295" s="98">
        <f t="shared" si="193"/>
        <v>8.2209862715017896E-4</v>
      </c>
      <c r="AI295" s="98">
        <f t="shared" si="194"/>
        <v>1.5707963267948966</v>
      </c>
      <c r="AJ295" s="98" t="str">
        <f t="shared" si="180"/>
        <v>1+0.0805900036418174i</v>
      </c>
      <c r="AK295" s="98">
        <f t="shared" si="195"/>
        <v>1.0032421186767371</v>
      </c>
      <c r="AL295" s="98">
        <f t="shared" si="196"/>
        <v>8.0416209782471687E-2</v>
      </c>
      <c r="AM295" s="98" t="str">
        <f t="shared" si="181"/>
        <v>1+8.13959036782354i</v>
      </c>
      <c r="AN295" s="98">
        <f t="shared" si="197"/>
        <v>8.2007884594083862</v>
      </c>
      <c r="AO295" s="98">
        <f t="shared" si="198"/>
        <v>1.4485526008380616</v>
      </c>
      <c r="AP295" s="168" t="str">
        <f t="shared" si="199"/>
        <v>-0.178165309154543+0.0366095452909226i</v>
      </c>
      <c r="AQ295" s="98">
        <f t="shared" si="200"/>
        <v>-14.803933272163867</v>
      </c>
      <c r="AR295" s="169">
        <f t="shared" si="201"/>
        <v>168.38844100574519</v>
      </c>
      <c r="AS295" s="168" t="e">
        <f t="shared" si="202"/>
        <v>#DIV/0!</v>
      </c>
      <c r="AT295" s="190" t="e">
        <f t="shared" si="203"/>
        <v>#DIV/0!</v>
      </c>
      <c r="AU295" s="169" t="e">
        <f t="shared" si="204"/>
        <v>#DIV/0!</v>
      </c>
      <c r="AV295" s="225"/>
      <c r="AX295" t="e">
        <f t="shared" si="205"/>
        <v>#DIV/0!</v>
      </c>
      <c r="AY295" t="e">
        <f t="shared" si="206"/>
        <v>#DIV/0!</v>
      </c>
    </row>
    <row r="296" spans="14:51" x14ac:dyDescent="0.25">
      <c r="N296" s="170">
        <v>78</v>
      </c>
      <c r="O296" s="199">
        <f t="shared" si="207"/>
        <v>6025.595860743585</v>
      </c>
      <c r="P296" s="189" t="str">
        <f t="shared" si="173"/>
        <v>290</v>
      </c>
      <c r="Q296" s="160" t="e">
        <f t="shared" si="174"/>
        <v>#DIV/0!</v>
      </c>
      <c r="R296" s="160" t="e">
        <f t="shared" si="182"/>
        <v>#DIV/0!</v>
      </c>
      <c r="S296" s="160" t="e">
        <f t="shared" si="183"/>
        <v>#DIV/0!</v>
      </c>
      <c r="T296" s="160" t="e">
        <f t="shared" si="175"/>
        <v>#DIV/0!</v>
      </c>
      <c r="U296" s="160" t="e">
        <f t="shared" si="184"/>
        <v>#DIV/0!</v>
      </c>
      <c r="V296" s="160" t="e">
        <f t="shared" si="185"/>
        <v>#DIV/0!</v>
      </c>
      <c r="W296" s="98" t="str">
        <f t="shared" si="176"/>
        <v>1-0.30169636005321i</v>
      </c>
      <c r="X296" s="160">
        <f t="shared" si="186"/>
        <v>1.0445193601218485</v>
      </c>
      <c r="Y296" s="160">
        <f t="shared" si="187"/>
        <v>-0.29301236057408547</v>
      </c>
      <c r="Z296" s="98" t="str">
        <f t="shared" si="177"/>
        <v>0.999249838729814+0.0358256968311398i</v>
      </c>
      <c r="AA296" s="160">
        <f t="shared" si="188"/>
        <v>0.99989185452977658</v>
      </c>
      <c r="AB296" s="160">
        <f t="shared" si="189"/>
        <v>3.5837242153449515E-2</v>
      </c>
      <c r="AC296" s="171" t="e">
        <f t="shared" si="190"/>
        <v>#DIV/0!</v>
      </c>
      <c r="AD296" s="190" t="e">
        <f t="shared" si="191"/>
        <v>#DIV/0!</v>
      </c>
      <c r="AE296" s="169" t="e">
        <f t="shared" si="192"/>
        <v>#DIV/0!</v>
      </c>
      <c r="AF296" s="98" t="str">
        <f t="shared" si="178"/>
        <v>-0.0000182926829268293</v>
      </c>
      <c r="AG296" s="98" t="str">
        <f t="shared" si="179"/>
        <v>0.000841247764126407i</v>
      </c>
      <c r="AH296" s="98">
        <f t="shared" si="193"/>
        <v>8.4124776412640705E-4</v>
      </c>
      <c r="AI296" s="98">
        <f t="shared" si="194"/>
        <v>1.5707963267948966</v>
      </c>
      <c r="AJ296" s="98" t="str">
        <f t="shared" si="180"/>
        <v>1+0.0824671859745521i</v>
      </c>
      <c r="AK296" s="98">
        <f t="shared" si="195"/>
        <v>1.0033946565347862</v>
      </c>
      <c r="AL296" s="98">
        <f t="shared" si="196"/>
        <v>8.2280996509227738E-2</v>
      </c>
      <c r="AM296" s="98" t="str">
        <f t="shared" si="181"/>
        <v>1+8.32918578342976i</v>
      </c>
      <c r="AN296" s="98">
        <f t="shared" si="197"/>
        <v>8.3890008829948517</v>
      </c>
      <c r="AO296" s="98">
        <f t="shared" si="198"/>
        <v>1.4513084949836674</v>
      </c>
      <c r="AP296" s="168" t="str">
        <f t="shared" si="199"/>
        <v>-0.178111143251396+0.0364330279487831i</v>
      </c>
      <c r="AQ296" s="98">
        <f t="shared" si="200"/>
        <v>-14.808161201875407</v>
      </c>
      <c r="AR296" s="169">
        <f t="shared" si="201"/>
        <v>168.43949769993813</v>
      </c>
      <c r="AS296" s="168" t="e">
        <f t="shared" si="202"/>
        <v>#DIV/0!</v>
      </c>
      <c r="AT296" s="190" t="e">
        <f t="shared" si="203"/>
        <v>#DIV/0!</v>
      </c>
      <c r="AU296" s="169" t="e">
        <f t="shared" si="204"/>
        <v>#DIV/0!</v>
      </c>
      <c r="AV296" s="225"/>
      <c r="AX296" t="e">
        <f t="shared" si="205"/>
        <v>#DIV/0!</v>
      </c>
      <c r="AY296" t="e">
        <f t="shared" si="206"/>
        <v>#DIV/0!</v>
      </c>
    </row>
    <row r="297" spans="14:51" x14ac:dyDescent="0.25">
      <c r="N297" s="170">
        <v>79</v>
      </c>
      <c r="O297" s="199">
        <f t="shared" si="207"/>
        <v>6165.9500186148289</v>
      </c>
      <c r="P297" s="189" t="str">
        <f t="shared" si="173"/>
        <v>290</v>
      </c>
      <c r="Q297" s="160" t="e">
        <f t="shared" si="174"/>
        <v>#DIV/0!</v>
      </c>
      <c r="R297" s="160" t="e">
        <f t="shared" si="182"/>
        <v>#DIV/0!</v>
      </c>
      <c r="S297" s="160" t="e">
        <f t="shared" si="183"/>
        <v>#DIV/0!</v>
      </c>
      <c r="T297" s="160" t="e">
        <f t="shared" si="175"/>
        <v>#DIV/0!</v>
      </c>
      <c r="U297" s="160" t="e">
        <f t="shared" si="184"/>
        <v>#DIV/0!</v>
      </c>
      <c r="V297" s="160" t="e">
        <f t="shared" si="185"/>
        <v>#DIV/0!</v>
      </c>
      <c r="W297" s="98" t="str">
        <f t="shared" si="176"/>
        <v>1-0.308723771039061i</v>
      </c>
      <c r="X297" s="160">
        <f t="shared" si="186"/>
        <v>1.0465707653114424</v>
      </c>
      <c r="Y297" s="160">
        <f t="shared" si="187"/>
        <v>-0.29944091390936745</v>
      </c>
      <c r="Z297" s="98" t="str">
        <f t="shared" si="177"/>
        <v>0.999214484718346+0.0366601845108802i</v>
      </c>
      <c r="AA297" s="160">
        <f t="shared" si="188"/>
        <v>0.99988677138930149</v>
      </c>
      <c r="AB297" s="160">
        <f t="shared" si="189"/>
        <v>3.6672555418544764E-2</v>
      </c>
      <c r="AC297" s="171" t="e">
        <f t="shared" si="190"/>
        <v>#DIV/0!</v>
      </c>
      <c r="AD297" s="190" t="e">
        <f t="shared" si="191"/>
        <v>#DIV/0!</v>
      </c>
      <c r="AE297" s="169" t="e">
        <f t="shared" si="192"/>
        <v>#DIV/0!</v>
      </c>
      <c r="AF297" s="98" t="str">
        <f t="shared" si="178"/>
        <v>-0.0000182926829268293</v>
      </c>
      <c r="AG297" s="98" t="str">
        <f t="shared" si="179"/>
        <v>0.000860842941802405i</v>
      </c>
      <c r="AH297" s="98">
        <f t="shared" si="193"/>
        <v>8.6084294180240495E-4</v>
      </c>
      <c r="AI297" s="98">
        <f t="shared" si="194"/>
        <v>1.5707963267948966</v>
      </c>
      <c r="AJ297" s="98" t="str">
        <f t="shared" si="180"/>
        <v>1+0.084388093500873i</v>
      </c>
      <c r="AK297" s="98">
        <f t="shared" si="195"/>
        <v>1.0035543584304301</v>
      </c>
      <c r="AL297" s="98">
        <f t="shared" si="196"/>
        <v>8.4188626037330697E-2</v>
      </c>
      <c r="AM297" s="98" t="str">
        <f t="shared" si="181"/>
        <v>1+8.52319744358816i</v>
      </c>
      <c r="AN297" s="98">
        <f t="shared" si="197"/>
        <v>8.5816603674573226</v>
      </c>
      <c r="AO297" s="98">
        <f t="shared" si="198"/>
        <v>1.4540034206763301</v>
      </c>
      <c r="AP297" s="168" t="str">
        <f t="shared" si="199"/>
        <v>-0.178054459876583+0.0362754097087084i</v>
      </c>
      <c r="AQ297" s="98">
        <f t="shared" si="200"/>
        <v>-14.812321900951602</v>
      </c>
      <c r="AR297" s="169">
        <f t="shared" si="201"/>
        <v>168.48460644739424</v>
      </c>
      <c r="AS297" s="168" t="e">
        <f t="shared" si="202"/>
        <v>#DIV/0!</v>
      </c>
      <c r="AT297" s="190" t="e">
        <f t="shared" si="203"/>
        <v>#DIV/0!</v>
      </c>
      <c r="AU297" s="169" t="e">
        <f t="shared" si="204"/>
        <v>#DIV/0!</v>
      </c>
      <c r="AV297" s="225"/>
      <c r="AX297" t="e">
        <f t="shared" si="205"/>
        <v>#DIV/0!</v>
      </c>
      <c r="AY297" t="e">
        <f t="shared" si="206"/>
        <v>#DIV/0!</v>
      </c>
    </row>
    <row r="298" spans="14:51" x14ac:dyDescent="0.25">
      <c r="N298" s="170">
        <v>80</v>
      </c>
      <c r="O298" s="199">
        <f t="shared" si="207"/>
        <v>6309.5734448019384</v>
      </c>
      <c r="P298" s="189" t="str">
        <f t="shared" si="173"/>
        <v>290</v>
      </c>
      <c r="Q298" s="160" t="e">
        <f t="shared" si="174"/>
        <v>#DIV/0!</v>
      </c>
      <c r="R298" s="160" t="e">
        <f t="shared" si="182"/>
        <v>#DIV/0!</v>
      </c>
      <c r="S298" s="160" t="e">
        <f t="shared" si="183"/>
        <v>#DIV/0!</v>
      </c>
      <c r="T298" s="160" t="e">
        <f t="shared" si="175"/>
        <v>#DIV/0!</v>
      </c>
      <c r="U298" s="160" t="e">
        <f t="shared" si="184"/>
        <v>#DIV/0!</v>
      </c>
      <c r="V298" s="160" t="e">
        <f t="shared" si="185"/>
        <v>#DIV/0!</v>
      </c>
      <c r="W298" s="98" t="str">
        <f t="shared" si="176"/>
        <v>1-0.315914871454759i</v>
      </c>
      <c r="X298" s="160">
        <f t="shared" si="186"/>
        <v>1.0487145493442327</v>
      </c>
      <c r="Y298" s="160">
        <f t="shared" si="187"/>
        <v>-0.30599289398666468</v>
      </c>
      <c r="Z298" s="98" t="str">
        <f t="shared" si="177"/>
        <v>0.99917746452365+0.0375141099057032i</v>
      </c>
      <c r="AA298" s="160">
        <f t="shared" si="188"/>
        <v>0.99988144999991213</v>
      </c>
      <c r="AB298" s="160">
        <f t="shared" si="189"/>
        <v>3.752736542836866E-2</v>
      </c>
      <c r="AC298" s="171" t="e">
        <f t="shared" si="190"/>
        <v>#DIV/0!</v>
      </c>
      <c r="AD298" s="190" t="e">
        <f t="shared" si="191"/>
        <v>#DIV/0!</v>
      </c>
      <c r="AE298" s="169" t="e">
        <f t="shared" si="192"/>
        <v>#DIV/0!</v>
      </c>
      <c r="AF298" s="98" t="str">
        <f t="shared" si="178"/>
        <v>-0.0000182926829268293</v>
      </c>
      <c r="AG298" s="98" t="str">
        <f t="shared" si="179"/>
        <v>0.00088089454980075i</v>
      </c>
      <c r="AH298" s="98">
        <f t="shared" si="193"/>
        <v>8.8089454980074997E-4</v>
      </c>
      <c r="AI298" s="98">
        <f t="shared" si="194"/>
        <v>1.5707963267948966</v>
      </c>
      <c r="AJ298" s="98" t="str">
        <f t="shared" si="180"/>
        <v>1+0.0863537447113763i</v>
      </c>
      <c r="AK298" s="98">
        <f t="shared" si="195"/>
        <v>1.0037215596098739</v>
      </c>
      <c r="AL298" s="98">
        <f t="shared" si="196"/>
        <v>8.6140054250632189E-2</v>
      </c>
      <c r="AM298" s="98" t="str">
        <f t="shared" si="181"/>
        <v>1+8.72172821584899i</v>
      </c>
      <c r="AN298" s="98">
        <f t="shared" si="197"/>
        <v>8.7788691225656397</v>
      </c>
      <c r="AO298" s="98">
        <f t="shared" si="198"/>
        <v>1.4566386501391932</v>
      </c>
      <c r="AP298" s="168" t="str">
        <f t="shared" si="199"/>
        <v>-0.177995143752956+0.0361365775200385i</v>
      </c>
      <c r="AQ298" s="98">
        <f t="shared" si="200"/>
        <v>-14.816423890688702</v>
      </c>
      <c r="AR298" s="169">
        <f t="shared" si="201"/>
        <v>168.5237853730199</v>
      </c>
      <c r="AS298" s="168" t="e">
        <f t="shared" si="202"/>
        <v>#DIV/0!</v>
      </c>
      <c r="AT298" s="190" t="e">
        <f t="shared" si="203"/>
        <v>#DIV/0!</v>
      </c>
      <c r="AU298" s="169" t="e">
        <f t="shared" si="204"/>
        <v>#DIV/0!</v>
      </c>
      <c r="AV298" s="225"/>
      <c r="AX298" t="e">
        <f t="shared" si="205"/>
        <v>#DIV/0!</v>
      </c>
      <c r="AY298" t="e">
        <f t="shared" si="206"/>
        <v>#DIV/0!</v>
      </c>
    </row>
    <row r="299" spans="14:51" x14ac:dyDescent="0.25">
      <c r="N299" s="170">
        <v>81</v>
      </c>
      <c r="O299" s="199">
        <f t="shared" si="207"/>
        <v>6456.5422903465615</v>
      </c>
      <c r="P299" s="189" t="str">
        <f t="shared" si="173"/>
        <v>290</v>
      </c>
      <c r="Q299" s="160" t="e">
        <f t="shared" si="174"/>
        <v>#DIV/0!</v>
      </c>
      <c r="R299" s="160" t="e">
        <f t="shared" si="182"/>
        <v>#DIV/0!</v>
      </c>
      <c r="S299" s="160" t="e">
        <f t="shared" si="183"/>
        <v>#DIV/0!</v>
      </c>
      <c r="T299" s="160" t="e">
        <f t="shared" si="175"/>
        <v>#DIV/0!</v>
      </c>
      <c r="U299" s="160" t="e">
        <f t="shared" si="184"/>
        <v>#DIV/0!</v>
      </c>
      <c r="V299" s="160" t="e">
        <f t="shared" si="185"/>
        <v>#DIV/0!</v>
      </c>
      <c r="W299" s="98" t="str">
        <f t="shared" si="176"/>
        <v>1-0.323273474116931i</v>
      </c>
      <c r="X299" s="160">
        <f t="shared" si="186"/>
        <v>1.0509546798352583</v>
      </c>
      <c r="Y299" s="160">
        <f t="shared" si="187"/>
        <v>-0.31266952381272273</v>
      </c>
      <c r="Z299" s="98" t="str">
        <f t="shared" si="177"/>
        <v>0.999138699620929+0.0383879257781561i</v>
      </c>
      <c r="AA299" s="160">
        <f t="shared" si="188"/>
        <v>0.99987587925989607</v>
      </c>
      <c r="AB299" s="160">
        <f t="shared" si="189"/>
        <v>3.8402129165315789E-2</v>
      </c>
      <c r="AC299" s="171" t="e">
        <f t="shared" si="190"/>
        <v>#DIV/0!</v>
      </c>
      <c r="AD299" s="190" t="e">
        <f t="shared" si="191"/>
        <v>#DIV/0!</v>
      </c>
      <c r="AE299" s="169" t="e">
        <f t="shared" si="192"/>
        <v>#DIV/0!</v>
      </c>
      <c r="AF299" s="98" t="str">
        <f t="shared" si="178"/>
        <v>-0.0000182926829268293</v>
      </c>
      <c r="AG299" s="98" t="str">
        <f t="shared" si="179"/>
        <v>0.000901413219749417i</v>
      </c>
      <c r="AH299" s="98">
        <f t="shared" si="193"/>
        <v>9.0141321974941701E-4</v>
      </c>
      <c r="AI299" s="98">
        <f t="shared" si="194"/>
        <v>1.5707963267948966</v>
      </c>
      <c r="AJ299" s="98" t="str">
        <f t="shared" si="180"/>
        <v>1+0.0883651818203527i</v>
      </c>
      <c r="AK299" s="98">
        <f t="shared" si="195"/>
        <v>1.0038966108908547</v>
      </c>
      <c r="AL299" s="98">
        <f t="shared" si="196"/>
        <v>8.813625633974638E-2</v>
      </c>
      <c r="AM299" s="98" t="str">
        <f t="shared" si="181"/>
        <v>1+8.92488336385562i</v>
      </c>
      <c r="AN299" s="98">
        <f t="shared" si="197"/>
        <v>8.9807317663109618</v>
      </c>
      <c r="AO299" s="98">
        <f t="shared" si="198"/>
        <v>1.459215434125356</v>
      </c>
      <c r="AP299" s="168" t="str">
        <f t="shared" si="199"/>
        <v>-0.177933074490003+0.0360164262359745i</v>
      </c>
      <c r="AQ299" s="98">
        <f t="shared" si="200"/>
        <v>-14.82047558312415</v>
      </c>
      <c r="AR299" s="169">
        <f t="shared" si="201"/>
        <v>168.55705026538243</v>
      </c>
      <c r="AS299" s="168" t="e">
        <f t="shared" si="202"/>
        <v>#DIV/0!</v>
      </c>
      <c r="AT299" s="190" t="e">
        <f t="shared" si="203"/>
        <v>#DIV/0!</v>
      </c>
      <c r="AU299" s="169" t="e">
        <f t="shared" si="204"/>
        <v>#DIV/0!</v>
      </c>
      <c r="AV299" s="225"/>
      <c r="AX299" t="e">
        <f t="shared" si="205"/>
        <v>#DIV/0!</v>
      </c>
      <c r="AY299" t="e">
        <f t="shared" si="206"/>
        <v>#DIV/0!</v>
      </c>
    </row>
    <row r="300" spans="14:51" x14ac:dyDescent="0.25">
      <c r="N300" s="170">
        <v>82</v>
      </c>
      <c r="O300" s="199">
        <f t="shared" si="207"/>
        <v>6606.9344800759654</v>
      </c>
      <c r="P300" s="189" t="str">
        <f t="shared" si="173"/>
        <v>290</v>
      </c>
      <c r="Q300" s="160" t="e">
        <f t="shared" si="174"/>
        <v>#DIV/0!</v>
      </c>
      <c r="R300" s="160" t="e">
        <f t="shared" si="182"/>
        <v>#DIV/0!</v>
      </c>
      <c r="S300" s="160" t="e">
        <f t="shared" si="183"/>
        <v>#DIV/0!</v>
      </c>
      <c r="T300" s="160" t="e">
        <f t="shared" si="175"/>
        <v>#DIV/0!</v>
      </c>
      <c r="U300" s="160" t="e">
        <f t="shared" si="184"/>
        <v>#DIV/0!</v>
      </c>
      <c r="V300" s="160" t="e">
        <f t="shared" si="185"/>
        <v>#DIV/0!</v>
      </c>
      <c r="W300" s="98" t="str">
        <f t="shared" si="176"/>
        <v>1-0.330803480654108i</v>
      </c>
      <c r="X300" s="160">
        <f t="shared" si="186"/>
        <v>1.0532952780739469</v>
      </c>
      <c r="Y300" s="160">
        <f t="shared" si="187"/>
        <v>-0.31947196157458135</v>
      </c>
      <c r="Z300" s="98" t="str">
        <f t="shared" si="177"/>
        <v>0.999098107784628+0.0392820954369808i</v>
      </c>
      <c r="AA300" s="160">
        <f t="shared" si="188"/>
        <v>0.99987004755655329</v>
      </c>
      <c r="AB300" s="160">
        <f t="shared" si="189"/>
        <v>3.9297314459542008E-2</v>
      </c>
      <c r="AC300" s="171" t="e">
        <f t="shared" si="190"/>
        <v>#DIV/0!</v>
      </c>
      <c r="AD300" s="190" t="e">
        <f t="shared" si="191"/>
        <v>#DIV/0!</v>
      </c>
      <c r="AE300" s="169" t="e">
        <f t="shared" si="192"/>
        <v>#DIV/0!</v>
      </c>
      <c r="AF300" s="98" t="str">
        <f t="shared" si="178"/>
        <v>-0.0000182926829268293</v>
      </c>
      <c r="AG300" s="98" t="str">
        <f t="shared" si="179"/>
        <v>0.00092240983091881i</v>
      </c>
      <c r="AH300" s="98">
        <f t="shared" si="193"/>
        <v>9.2240983091881001E-4</v>
      </c>
      <c r="AI300" s="98">
        <f t="shared" si="194"/>
        <v>1.5707963267948966</v>
      </c>
      <c r="AJ300" s="98" t="str">
        <f t="shared" si="180"/>
        <v>1+0.0904234713183815i</v>
      </c>
      <c r="AK300" s="98">
        <f t="shared" si="195"/>
        <v>1.0040798793747767</v>
      </c>
      <c r="AL300" s="98">
        <f t="shared" si="196"/>
        <v>9.0178227046060835E-2</v>
      </c>
      <c r="AM300" s="98" t="str">
        <f t="shared" si="181"/>
        <v>1+9.13277060315652i</v>
      </c>
      <c r="AN300" s="98">
        <f t="shared" si="197"/>
        <v>9.1873553806239521</v>
      </c>
      <c r="AO300" s="98">
        <f t="shared" si="198"/>
        <v>1.461735001930742</v>
      </c>
      <c r="AP300" s="168" t="str">
        <f t="shared" si="199"/>
        <v>-0.177868126372898+0.0359148584169174i</v>
      </c>
      <c r="AQ300" s="98">
        <f t="shared" si="200"/>
        <v>-14.824485296523966</v>
      </c>
      <c r="AR300" s="169">
        <f t="shared" si="201"/>
        <v>168.58441456346699</v>
      </c>
      <c r="AS300" s="168" t="e">
        <f t="shared" si="202"/>
        <v>#DIV/0!</v>
      </c>
      <c r="AT300" s="190" t="e">
        <f t="shared" si="203"/>
        <v>#DIV/0!</v>
      </c>
      <c r="AU300" s="169" t="e">
        <f t="shared" si="204"/>
        <v>#DIV/0!</v>
      </c>
      <c r="AV300" s="225"/>
      <c r="AX300" t="e">
        <f t="shared" si="205"/>
        <v>#DIV/0!</v>
      </c>
      <c r="AY300" t="e">
        <f t="shared" si="206"/>
        <v>#DIV/0!</v>
      </c>
    </row>
    <row r="301" spans="14:51" x14ac:dyDescent="0.25">
      <c r="N301" s="170">
        <v>83</v>
      </c>
      <c r="O301" s="199">
        <f t="shared" si="207"/>
        <v>6760.8297539198229</v>
      </c>
      <c r="P301" s="189" t="str">
        <f t="shared" si="173"/>
        <v>290</v>
      </c>
      <c r="Q301" s="160" t="e">
        <f t="shared" si="174"/>
        <v>#DIV/0!</v>
      </c>
      <c r="R301" s="160" t="e">
        <f t="shared" si="182"/>
        <v>#DIV/0!</v>
      </c>
      <c r="S301" s="160" t="e">
        <f t="shared" si="183"/>
        <v>#DIV/0!</v>
      </c>
      <c r="T301" s="160" t="e">
        <f t="shared" si="175"/>
        <v>#DIV/0!</v>
      </c>
      <c r="U301" s="160" t="e">
        <f t="shared" si="184"/>
        <v>#DIV/0!</v>
      </c>
      <c r="V301" s="160" t="e">
        <f t="shared" si="185"/>
        <v>#DIV/0!</v>
      </c>
      <c r="W301" s="98" t="str">
        <f t="shared" si="176"/>
        <v>1-0.338508883575431i</v>
      </c>
      <c r="X301" s="160">
        <f t="shared" si="186"/>
        <v>1.0557406235716633</v>
      </c>
      <c r="Y301" s="160">
        <f t="shared" si="187"/>
        <v>-0.32640129498880699</v>
      </c>
      <c r="Z301" s="98" t="str">
        <f t="shared" si="177"/>
        <v>0.999055602914019+0.0401970929827663i</v>
      </c>
      <c r="AA301" s="160">
        <f t="shared" si="188"/>
        <v>0.99986394274329093</v>
      </c>
      <c r="AB301" s="160">
        <f t="shared" si="189"/>
        <v>4.0213400256156266E-2</v>
      </c>
      <c r="AC301" s="171" t="e">
        <f t="shared" si="190"/>
        <v>#DIV/0!</v>
      </c>
      <c r="AD301" s="190" t="e">
        <f t="shared" si="191"/>
        <v>#DIV/0!</v>
      </c>
      <c r="AE301" s="169" t="e">
        <f t="shared" si="192"/>
        <v>#DIV/0!</v>
      </c>
      <c r="AF301" s="98" t="str">
        <f t="shared" si="178"/>
        <v>-0.0000182926829268293</v>
      </c>
      <c r="AG301" s="98" t="str">
        <f t="shared" si="179"/>
        <v>0.000943895515990093i</v>
      </c>
      <c r="AH301" s="98">
        <f t="shared" si="193"/>
        <v>9.4389551599009303E-4</v>
      </c>
      <c r="AI301" s="98">
        <f t="shared" si="194"/>
        <v>1.5707963267948966</v>
      </c>
      <c r="AJ301" s="98" t="str">
        <f t="shared" si="180"/>
        <v>1+0.0925297045377995i</v>
      </c>
      <c r="AK301" s="98">
        <f t="shared" si="195"/>
        <v>1.0042717491903537</v>
      </c>
      <c r="AL301" s="98">
        <f t="shared" si="196"/>
        <v>9.226698089742931E-2</v>
      </c>
      <c r="AM301" s="98" t="str">
        <f t="shared" si="181"/>
        <v>1+9.34550015831774i</v>
      </c>
      <c r="AN301" s="98">
        <f t="shared" si="197"/>
        <v>9.3988495683842554</v>
      </c>
      <c r="AO301" s="98">
        <f t="shared" si="198"/>
        <v>1.464198561435901</v>
      </c>
      <c r="AP301" s="168" t="str">
        <f t="shared" si="199"/>
        <v>-0.177800168144387+0.0358317841285545i</v>
      </c>
      <c r="AQ301" s="98">
        <f t="shared" si="200"/>
        <v>-14.828461270772515</v>
      </c>
      <c r="AR301" s="169">
        <f t="shared" si="201"/>
        <v>168.60588934556679</v>
      </c>
      <c r="AS301" s="168" t="e">
        <f t="shared" si="202"/>
        <v>#DIV/0!</v>
      </c>
      <c r="AT301" s="190" t="e">
        <f t="shared" si="203"/>
        <v>#DIV/0!</v>
      </c>
      <c r="AU301" s="169" t="e">
        <f t="shared" si="204"/>
        <v>#DIV/0!</v>
      </c>
      <c r="AV301" s="225"/>
      <c r="AX301" t="e">
        <f t="shared" si="205"/>
        <v>#DIV/0!</v>
      </c>
      <c r="AY301" t="e">
        <f t="shared" si="206"/>
        <v>#DIV/0!</v>
      </c>
    </row>
    <row r="302" spans="14:51" x14ac:dyDescent="0.25">
      <c r="N302" s="170">
        <v>84</v>
      </c>
      <c r="O302" s="199">
        <f t="shared" si="207"/>
        <v>6918.3097091893687</v>
      </c>
      <c r="P302" s="189" t="str">
        <f t="shared" si="173"/>
        <v>290</v>
      </c>
      <c r="Q302" s="160" t="e">
        <f t="shared" si="174"/>
        <v>#DIV/0!</v>
      </c>
      <c r="R302" s="160" t="e">
        <f t="shared" si="182"/>
        <v>#DIV/0!</v>
      </c>
      <c r="S302" s="160" t="e">
        <f t="shared" si="183"/>
        <v>#DIV/0!</v>
      </c>
      <c r="T302" s="160" t="e">
        <f t="shared" si="175"/>
        <v>#DIV/0!</v>
      </c>
      <c r="U302" s="160" t="e">
        <f t="shared" si="184"/>
        <v>#DIV/0!</v>
      </c>
      <c r="V302" s="160" t="e">
        <f t="shared" si="185"/>
        <v>#DIV/0!</v>
      </c>
      <c r="W302" s="98" t="str">
        <f t="shared" si="176"/>
        <v>1-0.34639376838752i</v>
      </c>
      <c r="X302" s="160">
        <f t="shared" si="186"/>
        <v>1.0582951586290599</v>
      </c>
      <c r="Y302" s="160">
        <f t="shared" si="187"/>
        <v>-0.33345853545774917</v>
      </c>
      <c r="Z302" s="98" t="str">
        <f t="shared" si="177"/>
        <v>0.999011094850573+0.0411334035593226i</v>
      </c>
      <c r="AA302" s="160">
        <f t="shared" si="188"/>
        <v>0.99985755211575766</v>
      </c>
      <c r="AB302" s="160">
        <f t="shared" si="189"/>
        <v>4.1150876889670555E-2</v>
      </c>
      <c r="AC302" s="171" t="e">
        <f t="shared" si="190"/>
        <v>#DIV/0!</v>
      </c>
      <c r="AD302" s="190" t="e">
        <f t="shared" si="191"/>
        <v>#DIV/0!</v>
      </c>
      <c r="AE302" s="169" t="e">
        <f t="shared" si="192"/>
        <v>#DIV/0!</v>
      </c>
      <c r="AF302" s="98" t="str">
        <f t="shared" si="178"/>
        <v>-0.0000182926829268293</v>
      </c>
      <c r="AG302" s="98" t="str">
        <f t="shared" si="179"/>
        <v>0.000965881666957889i</v>
      </c>
      <c r="AH302" s="98">
        <f t="shared" si="193"/>
        <v>9.6588166695788901E-4</v>
      </c>
      <c r="AI302" s="98">
        <f t="shared" si="194"/>
        <v>1.5707963267948966</v>
      </c>
      <c r="AJ302" s="98" t="str">
        <f t="shared" si="180"/>
        <v>1+0.0946849982313389i</v>
      </c>
      <c r="AK302" s="98">
        <f t="shared" si="195"/>
        <v>1.0044726222700491</v>
      </c>
      <c r="AL302" s="98">
        <f t="shared" si="196"/>
        <v>9.4403552434429258E-2</v>
      </c>
      <c r="AM302" s="98" t="str">
        <f t="shared" si="181"/>
        <v>1+9.56318482136522i</v>
      </c>
      <c r="AN302" s="98">
        <f t="shared" si="197"/>
        <v>9.6153265117514426</v>
      </c>
      <c r="AO302" s="98">
        <f t="shared" si="198"/>
        <v>1.4666072991743928</v>
      </c>
      <c r="AP302" s="168" t="str">
        <f t="shared" si="199"/>
        <v>-0.177729062779426+0.0357671207339971i</v>
      </c>
      <c r="AQ302" s="98">
        <f t="shared" si="200"/>
        <v>-14.832411682679808</v>
      </c>
      <c r="AR302" s="169">
        <f t="shared" si="201"/>
        <v>168.62148332023847</v>
      </c>
      <c r="AS302" s="168" t="e">
        <f t="shared" si="202"/>
        <v>#DIV/0!</v>
      </c>
      <c r="AT302" s="190" t="e">
        <f t="shared" si="203"/>
        <v>#DIV/0!</v>
      </c>
      <c r="AU302" s="169" t="e">
        <f t="shared" si="204"/>
        <v>#DIV/0!</v>
      </c>
      <c r="AV302" s="225"/>
      <c r="AX302" t="e">
        <f t="shared" si="205"/>
        <v>#DIV/0!</v>
      </c>
      <c r="AY302" t="e">
        <f t="shared" si="206"/>
        <v>#DIV/0!</v>
      </c>
    </row>
    <row r="303" spans="14:51" x14ac:dyDescent="0.25">
      <c r="N303" s="170">
        <v>85</v>
      </c>
      <c r="O303" s="199">
        <f t="shared" si="207"/>
        <v>7079.4578438413828</v>
      </c>
      <c r="P303" s="189" t="str">
        <f t="shared" si="173"/>
        <v>290</v>
      </c>
      <c r="Q303" s="160" t="e">
        <f t="shared" si="174"/>
        <v>#DIV/0!</v>
      </c>
      <c r="R303" s="160" t="e">
        <f t="shared" si="182"/>
        <v>#DIV/0!</v>
      </c>
      <c r="S303" s="160" t="e">
        <f t="shared" si="183"/>
        <v>#DIV/0!</v>
      </c>
      <c r="T303" s="160" t="e">
        <f t="shared" si="175"/>
        <v>#DIV/0!</v>
      </c>
      <c r="U303" s="160" t="e">
        <f t="shared" si="184"/>
        <v>#DIV/0!</v>
      </c>
      <c r="V303" s="160" t="e">
        <f t="shared" si="185"/>
        <v>#DIV/0!</v>
      </c>
      <c r="W303" s="98" t="str">
        <f t="shared" si="176"/>
        <v>1-0.354462315760672i</v>
      </c>
      <c r="X303" s="160">
        <f t="shared" si="186"/>
        <v>1.0609634929131249</v>
      </c>
      <c r="Y303" s="160">
        <f t="shared" si="187"/>
        <v>-0.34064461204223601</v>
      </c>
      <c r="Z303" s="98" t="str">
        <f t="shared" si="177"/>
        <v>0.998964489186721+0.042091523610911i</v>
      </c>
      <c r="AA303" s="160">
        <f t="shared" si="188"/>
        <v>0.9998508623869734</v>
      </c>
      <c r="AB303" s="160">
        <f t="shared" si="189"/>
        <v>4.2110246365952911E-2</v>
      </c>
      <c r="AC303" s="171" t="e">
        <f t="shared" si="190"/>
        <v>#DIV/0!</v>
      </c>
      <c r="AD303" s="190" t="e">
        <f t="shared" si="191"/>
        <v>#DIV/0!</v>
      </c>
      <c r="AE303" s="169" t="e">
        <f t="shared" si="192"/>
        <v>#DIV/0!</v>
      </c>
      <c r="AF303" s="98" t="str">
        <f t="shared" si="178"/>
        <v>-0.0000182926829268293</v>
      </c>
      <c r="AG303" s="98" t="str">
        <f t="shared" si="179"/>
        <v>0.000988379941170461i</v>
      </c>
      <c r="AH303" s="98">
        <f t="shared" si="193"/>
        <v>9.8837994117046096E-4</v>
      </c>
      <c r="AI303" s="98">
        <f t="shared" si="194"/>
        <v>1.5707963267948966</v>
      </c>
      <c r="AJ303" s="98" t="str">
        <f t="shared" si="180"/>
        <v>1+0.0968904951642447i</v>
      </c>
      <c r="AK303" s="98">
        <f t="shared" si="195"/>
        <v>1.0046829191606537</v>
      </c>
      <c r="AL303" s="98">
        <f t="shared" si="196"/>
        <v>9.6588996425994944E-2</v>
      </c>
      <c r="AM303" s="98" t="str">
        <f t="shared" si="181"/>
        <v>1+9.7859400115887i</v>
      </c>
      <c r="AN303" s="98">
        <f t="shared" si="197"/>
        <v>9.8369010318500543</v>
      </c>
      <c r="AO303" s="98">
        <f t="shared" si="198"/>
        <v>1.4689623804255565</v>
      </c>
      <c r="AP303" s="168" t="str">
        <f t="shared" si="199"/>
        <v>-0.177654667252512+0.0357207926792571i</v>
      </c>
      <c r="AQ303" s="98">
        <f t="shared" si="200"/>
        <v>-14.836344661221331</v>
      </c>
      <c r="AR303" s="169">
        <f t="shared" si="201"/>
        <v>168.63120281926155</v>
      </c>
      <c r="AS303" s="168" t="e">
        <f t="shared" si="202"/>
        <v>#DIV/0!</v>
      </c>
      <c r="AT303" s="190" t="e">
        <f t="shared" si="203"/>
        <v>#DIV/0!</v>
      </c>
      <c r="AU303" s="169" t="e">
        <f t="shared" si="204"/>
        <v>#DIV/0!</v>
      </c>
      <c r="AV303" s="225"/>
      <c r="AX303" t="e">
        <f t="shared" si="205"/>
        <v>#DIV/0!</v>
      </c>
      <c r="AY303" t="e">
        <f t="shared" si="206"/>
        <v>#DIV/0!</v>
      </c>
    </row>
    <row r="304" spans="14:51" x14ac:dyDescent="0.25">
      <c r="N304" s="170">
        <v>86</v>
      </c>
      <c r="O304" s="199">
        <f t="shared" si="207"/>
        <v>7244.3596007499036</v>
      </c>
      <c r="P304" s="189" t="str">
        <f t="shared" si="173"/>
        <v>290</v>
      </c>
      <c r="Q304" s="160" t="e">
        <f t="shared" si="174"/>
        <v>#DIV/0!</v>
      </c>
      <c r="R304" s="160" t="e">
        <f t="shared" si="182"/>
        <v>#DIV/0!</v>
      </c>
      <c r="S304" s="160" t="e">
        <f t="shared" si="183"/>
        <v>#DIV/0!</v>
      </c>
      <c r="T304" s="160" t="e">
        <f t="shared" si="175"/>
        <v>#DIV/0!</v>
      </c>
      <c r="U304" s="160" t="e">
        <f t="shared" si="184"/>
        <v>#DIV/0!</v>
      </c>
      <c r="V304" s="160" t="e">
        <f t="shared" si="185"/>
        <v>#DIV/0!</v>
      </c>
      <c r="W304" s="98" t="str">
        <f t="shared" si="176"/>
        <v>1-0.362718803745504i</v>
      </c>
      <c r="X304" s="160">
        <f t="shared" si="186"/>
        <v>1.063750408033092</v>
      </c>
      <c r="Y304" s="160">
        <f t="shared" si="187"/>
        <v>-0.34796036526215618</v>
      </c>
      <c r="Z304" s="98" t="str">
        <f t="shared" si="177"/>
        <v>0.9989156870656+0.0430719611454652i</v>
      </c>
      <c r="AA304" s="160">
        <f t="shared" si="188"/>
        <v>0.9998438596614253</v>
      </c>
      <c r="AB304" s="160">
        <f t="shared" si="189"/>
        <v>4.3092022651934951E-2</v>
      </c>
      <c r="AC304" s="171" t="e">
        <f t="shared" si="190"/>
        <v>#DIV/0!</v>
      </c>
      <c r="AD304" s="190" t="e">
        <f t="shared" si="191"/>
        <v>#DIV/0!</v>
      </c>
      <c r="AE304" s="169" t="e">
        <f t="shared" si="192"/>
        <v>#DIV/0!</v>
      </c>
      <c r="AF304" s="98" t="str">
        <f t="shared" si="178"/>
        <v>-0.0000182926829268293</v>
      </c>
      <c r="AG304" s="98" t="str">
        <f t="shared" si="179"/>
        <v>0.0010114022675106i</v>
      </c>
      <c r="AH304" s="98">
        <f t="shared" si="193"/>
        <v>1.0114022675106E-3</v>
      </c>
      <c r="AI304" s="98">
        <f t="shared" si="194"/>
        <v>1.5707963267948966</v>
      </c>
      <c r="AJ304" s="98" t="str">
        <f t="shared" si="180"/>
        <v>1+0.099147364720184i</v>
      </c>
      <c r="AK304" s="98">
        <f t="shared" si="195"/>
        <v>1.0049030798693759</v>
      </c>
      <c r="AL304" s="98">
        <f t="shared" si="196"/>
        <v>9.8824388073144517E-2</v>
      </c>
      <c r="AM304" s="98" t="str">
        <f t="shared" si="181"/>
        <v>1+10.0138838367386i</v>
      </c>
      <c r="AN304" s="98">
        <f t="shared" si="197"/>
        <v>10.063690649840872</v>
      </c>
      <c r="AO304" s="98">
        <f t="shared" si="198"/>
        <v>1.4712649493295853</v>
      </c>
      <c r="AP304" s="168" t="str">
        <f t="shared" si="199"/>
        <v>-0.17757683229765+0.0356927312712926i</v>
      </c>
      <c r="AQ304" s="98">
        <f t="shared" si="200"/>
        <v>-14.84026830272682</v>
      </c>
      <c r="AR304" s="169">
        <f t="shared" si="201"/>
        <v>168.63505179256001</v>
      </c>
      <c r="AS304" s="168" t="e">
        <f t="shared" si="202"/>
        <v>#DIV/0!</v>
      </c>
      <c r="AT304" s="190" t="e">
        <f t="shared" si="203"/>
        <v>#DIV/0!</v>
      </c>
      <c r="AU304" s="169" t="e">
        <f t="shared" si="204"/>
        <v>#DIV/0!</v>
      </c>
      <c r="AV304" s="225"/>
      <c r="AX304" t="e">
        <f t="shared" si="205"/>
        <v>#DIV/0!</v>
      </c>
      <c r="AY304" t="e">
        <f t="shared" si="206"/>
        <v>#DIV/0!</v>
      </c>
    </row>
    <row r="305" spans="14:51" x14ac:dyDescent="0.25">
      <c r="N305" s="170">
        <v>87</v>
      </c>
      <c r="O305" s="199">
        <f t="shared" si="207"/>
        <v>7413.1024130091773</v>
      </c>
      <c r="P305" s="189" t="str">
        <f t="shared" si="173"/>
        <v>290</v>
      </c>
      <c r="Q305" s="160" t="e">
        <f t="shared" si="174"/>
        <v>#DIV/0!</v>
      </c>
      <c r="R305" s="160" t="e">
        <f t="shared" si="182"/>
        <v>#DIV/0!</v>
      </c>
      <c r="S305" s="160" t="e">
        <f t="shared" si="183"/>
        <v>#DIV/0!</v>
      </c>
      <c r="T305" s="160" t="e">
        <f t="shared" si="175"/>
        <v>#DIV/0!</v>
      </c>
      <c r="U305" s="160" t="e">
        <f t="shared" si="184"/>
        <v>#DIV/0!</v>
      </c>
      <c r="V305" s="160" t="e">
        <f t="shared" si="185"/>
        <v>#DIV/0!</v>
      </c>
      <c r="W305" s="98" t="str">
        <f t="shared" si="176"/>
        <v>1-0.371167610041232i</v>
      </c>
      <c r="X305" s="160">
        <f t="shared" si="186"/>
        <v>1.0666608621036586</v>
      </c>
      <c r="Y305" s="160">
        <f t="shared" si="187"/>
        <v>-0.35540654073867128</v>
      </c>
      <c r="Z305" s="98" t="str">
        <f t="shared" si="177"/>
        <v>0.998864584971369+0.0440752360039434i</v>
      </c>
      <c r="AA305" s="160">
        <f t="shared" si="188"/>
        <v>0.9998365294080972</v>
      </c>
      <c r="AB305" s="160">
        <f t="shared" si="189"/>
        <v>4.409673197333943E-2</v>
      </c>
      <c r="AC305" s="171" t="e">
        <f t="shared" si="190"/>
        <v>#DIV/0!</v>
      </c>
      <c r="AD305" s="190" t="e">
        <f t="shared" si="191"/>
        <v>#DIV/0!</v>
      </c>
      <c r="AE305" s="169" t="e">
        <f t="shared" si="192"/>
        <v>#DIV/0!</v>
      </c>
      <c r="AF305" s="98" t="str">
        <f t="shared" si="178"/>
        <v>-0.0000182926829268293</v>
      </c>
      <c r="AG305" s="98" t="str">
        <f t="shared" si="179"/>
        <v>0.00103496085272046i</v>
      </c>
      <c r="AH305" s="98">
        <f t="shared" si="193"/>
        <v>1.0349608527204599E-3</v>
      </c>
      <c r="AI305" s="98">
        <f t="shared" si="194"/>
        <v>1.5707963267948966</v>
      </c>
      <c r="AJ305" s="98" t="str">
        <f t="shared" si="180"/>
        <v>1+0.101456803521268i</v>
      </c>
      <c r="AK305" s="98">
        <f t="shared" si="195"/>
        <v>1.0051335647468715</v>
      </c>
      <c r="AL305" s="98">
        <f t="shared" si="196"/>
        <v>0.10111082319942992</v>
      </c>
      <c r="AM305" s="98" t="str">
        <f t="shared" si="181"/>
        <v>1+10.2471371556481i</v>
      </c>
      <c r="AN305" s="98">
        <f t="shared" si="197"/>
        <v>10.295815649411358</v>
      </c>
      <c r="AO305" s="98">
        <f t="shared" si="198"/>
        <v>1.4735161290229604</v>
      </c>
      <c r="AP305" s="168" t="str">
        <f t="shared" si="199"/>
        <v>-0.177495402160936+0.0356828744478339i</v>
      </c>
      <c r="AQ305" s="98">
        <f t="shared" si="200"/>
        <v>-14.844190686033832</v>
      </c>
      <c r="AR305" s="169">
        <f t="shared" si="201"/>
        <v>168.63303180504928</v>
      </c>
      <c r="AS305" s="168" t="e">
        <f t="shared" si="202"/>
        <v>#DIV/0!</v>
      </c>
      <c r="AT305" s="190" t="e">
        <f t="shared" si="203"/>
        <v>#DIV/0!</v>
      </c>
      <c r="AU305" s="169" t="e">
        <f t="shared" si="204"/>
        <v>#DIV/0!</v>
      </c>
      <c r="AV305" s="225"/>
      <c r="AX305" t="e">
        <f t="shared" si="205"/>
        <v>#DIV/0!</v>
      </c>
      <c r="AY305" t="e">
        <f t="shared" si="206"/>
        <v>#DIV/0!</v>
      </c>
    </row>
    <row r="306" spans="14:51" x14ac:dyDescent="0.25">
      <c r="N306" s="170">
        <v>88</v>
      </c>
      <c r="O306" s="199">
        <f t="shared" si="207"/>
        <v>7585.7757502918394</v>
      </c>
      <c r="P306" s="189" t="str">
        <f t="shared" si="173"/>
        <v>290</v>
      </c>
      <c r="Q306" s="160" t="e">
        <f t="shared" si="174"/>
        <v>#DIV/0!</v>
      </c>
      <c r="R306" s="160" t="e">
        <f t="shared" si="182"/>
        <v>#DIV/0!</v>
      </c>
      <c r="S306" s="160" t="e">
        <f t="shared" si="183"/>
        <v>#DIV/0!</v>
      </c>
      <c r="T306" s="160" t="e">
        <f t="shared" si="175"/>
        <v>#DIV/0!</v>
      </c>
      <c r="U306" s="160" t="e">
        <f t="shared" si="184"/>
        <v>#DIV/0!</v>
      </c>
      <c r="V306" s="160" t="e">
        <f t="shared" si="185"/>
        <v>#DIV/0!</v>
      </c>
      <c r="W306" s="98" t="str">
        <f t="shared" si="176"/>
        <v>1-0.379813214316788i</v>
      </c>
      <c r="X306" s="160">
        <f t="shared" si="186"/>
        <v>1.0696999942832806</v>
      </c>
      <c r="Y306" s="160">
        <f t="shared" si="187"/>
        <v>-0.36298378269417664</v>
      </c>
      <c r="Z306" s="98" t="str">
        <f t="shared" si="177"/>
        <v>0.998811074509634+0.0451018801359557i</v>
      </c>
      <c r="AA306" s="160">
        <f t="shared" si="188"/>
        <v>0.99982885643238339</v>
      </c>
      <c r="AB306" s="160">
        <f t="shared" si="189"/>
        <v>4.512491312070737E-2</v>
      </c>
      <c r="AC306" s="171" t="e">
        <f t="shared" si="190"/>
        <v>#DIV/0!</v>
      </c>
      <c r="AD306" s="190" t="e">
        <f t="shared" si="191"/>
        <v>#DIV/0!</v>
      </c>
      <c r="AE306" s="169" t="e">
        <f t="shared" si="192"/>
        <v>#DIV/0!</v>
      </c>
      <c r="AF306" s="98" t="str">
        <f t="shared" si="178"/>
        <v>-0.0000182926829268293</v>
      </c>
      <c r="AG306" s="98" t="str">
        <f t="shared" si="179"/>
        <v>0.00105906818787376i</v>
      </c>
      <c r="AH306" s="98">
        <f t="shared" si="193"/>
        <v>1.05906818787376E-3</v>
      </c>
      <c r="AI306" s="98">
        <f t="shared" si="194"/>
        <v>1.5707963267948966</v>
      </c>
      <c r="AJ306" s="98" t="str">
        <f t="shared" si="180"/>
        <v>1+0.103820036062519i</v>
      </c>
      <c r="AK306" s="98">
        <f t="shared" si="195"/>
        <v>1.0053748554086792</v>
      </c>
      <c r="AL306" s="98">
        <f t="shared" si="196"/>
        <v>0.10344941842664532</v>
      </c>
      <c r="AM306" s="98" t="str">
        <f t="shared" si="181"/>
        <v>1+10.4858236423144i</v>
      </c>
      <c r="AN306" s="98">
        <f t="shared" si="197"/>
        <v>10.533399140719943</v>
      </c>
      <c r="AO306" s="98">
        <f t="shared" si="198"/>
        <v>1.4757170217924263</v>
      </c>
      <c r="AP306" s="168" t="str">
        <f t="shared" si="199"/>
        <v>-0.17741021434576+0.0356911665381462i</v>
      </c>
      <c r="AQ306" s="98">
        <f t="shared" si="200"/>
        <v>-14.848119887622364</v>
      </c>
      <c r="AR306" s="169">
        <f t="shared" si="201"/>
        <v>168.62514203539172</v>
      </c>
      <c r="AS306" s="168" t="e">
        <f t="shared" si="202"/>
        <v>#DIV/0!</v>
      </c>
      <c r="AT306" s="190" t="e">
        <f t="shared" si="203"/>
        <v>#DIV/0!</v>
      </c>
      <c r="AU306" s="169" t="e">
        <f t="shared" si="204"/>
        <v>#DIV/0!</v>
      </c>
      <c r="AV306" s="225"/>
      <c r="AX306" t="e">
        <f t="shared" si="205"/>
        <v>#DIV/0!</v>
      </c>
      <c r="AY306" t="e">
        <f t="shared" si="206"/>
        <v>#DIV/0!</v>
      </c>
    </row>
    <row r="307" spans="14:51" x14ac:dyDescent="0.25">
      <c r="N307" s="170">
        <v>89</v>
      </c>
      <c r="O307" s="199">
        <f t="shared" si="207"/>
        <v>7762.4711662869322</v>
      </c>
      <c r="P307" s="189" t="str">
        <f t="shared" si="173"/>
        <v>290</v>
      </c>
      <c r="Q307" s="160" t="e">
        <f t="shared" si="174"/>
        <v>#DIV/0!</v>
      </c>
      <c r="R307" s="160" t="e">
        <f t="shared" si="182"/>
        <v>#DIV/0!</v>
      </c>
      <c r="S307" s="160" t="e">
        <f t="shared" si="183"/>
        <v>#DIV/0!</v>
      </c>
      <c r="T307" s="160" t="e">
        <f t="shared" si="175"/>
        <v>#DIV/0!</v>
      </c>
      <c r="U307" s="160" t="e">
        <f t="shared" si="184"/>
        <v>#DIV/0!</v>
      </c>
      <c r="V307" s="160" t="e">
        <f t="shared" si="185"/>
        <v>#DIV/0!</v>
      </c>
      <c r="W307" s="98" t="str">
        <f t="shared" si="176"/>
        <v>1-0.388660200585998i</v>
      </c>
      <c r="X307" s="160">
        <f t="shared" si="186"/>
        <v>1.0728731292746352</v>
      </c>
      <c r="Y307" s="160">
        <f t="shared" si="187"/>
        <v>-0.37069262732864583</v>
      </c>
      <c r="Z307" s="98" t="str">
        <f t="shared" si="177"/>
        <v>0.998755042177532+0.04615243788181i</v>
      </c>
      <c r="AA307" s="160">
        <f t="shared" si="188"/>
        <v>0.99982082484687118</v>
      </c>
      <c r="AB307" s="160">
        <f t="shared" si="189"/>
        <v>4.6177117764011164E-2</v>
      </c>
      <c r="AC307" s="171" t="e">
        <f t="shared" si="190"/>
        <v>#DIV/0!</v>
      </c>
      <c r="AD307" s="190" t="e">
        <f t="shared" si="191"/>
        <v>#DIV/0!</v>
      </c>
      <c r="AE307" s="169" t="e">
        <f t="shared" si="192"/>
        <v>#DIV/0!</v>
      </c>
      <c r="AF307" s="98" t="str">
        <f t="shared" si="178"/>
        <v>-0.0000182926829268293</v>
      </c>
      <c r="AG307" s="98" t="str">
        <f t="shared" si="179"/>
        <v>0.0010837370549987i</v>
      </c>
      <c r="AH307" s="98">
        <f t="shared" si="193"/>
        <v>1.0837370549987E-3</v>
      </c>
      <c r="AI307" s="98">
        <f t="shared" si="194"/>
        <v>1.5707963267948966</v>
      </c>
      <c r="AJ307" s="98" t="str">
        <f t="shared" si="180"/>
        <v>1+0.106238315361111i</v>
      </c>
      <c r="AK307" s="98">
        <f t="shared" si="195"/>
        <v>1.005627455696575</v>
      </c>
      <c r="AL307" s="98">
        <f t="shared" si="196"/>
        <v>0.10584131133421738</v>
      </c>
      <c r="AM307" s="98" t="str">
        <f t="shared" si="181"/>
        <v>1+10.7300698514722i</v>
      </c>
      <c r="AN307" s="98">
        <f t="shared" si="197"/>
        <v>10.776567125827809</v>
      </c>
      <c r="AO307" s="98">
        <f t="shared" si="198"/>
        <v>1.4778687092457858</v>
      </c>
      <c r="AP307" s="168" t="str">
        <f t="shared" si="199"/>
        <v>-0.177321099350658+0.0357175580138593i</v>
      </c>
      <c r="AQ307" s="98">
        <f t="shared" si="200"/>
        <v>-14.852063996746999</v>
      </c>
      <c r="AR307" s="169">
        <f t="shared" si="201"/>
        <v>168.61137927664927</v>
      </c>
      <c r="AS307" s="168" t="e">
        <f t="shared" si="202"/>
        <v>#DIV/0!</v>
      </c>
      <c r="AT307" s="190" t="e">
        <f t="shared" si="203"/>
        <v>#DIV/0!</v>
      </c>
      <c r="AU307" s="169" t="e">
        <f t="shared" si="204"/>
        <v>#DIV/0!</v>
      </c>
      <c r="AV307" s="225"/>
      <c r="AX307" t="e">
        <f t="shared" si="205"/>
        <v>#DIV/0!</v>
      </c>
      <c r="AY307" t="e">
        <f t="shared" si="206"/>
        <v>#DIV/0!</v>
      </c>
    </row>
    <row r="308" spans="14:51" x14ac:dyDescent="0.25">
      <c r="N308" s="170">
        <v>90</v>
      </c>
      <c r="O308" s="199">
        <f t="shared" si="207"/>
        <v>7943.2823472428154</v>
      </c>
      <c r="P308" s="189" t="str">
        <f t="shared" si="173"/>
        <v>290</v>
      </c>
      <c r="Q308" s="160" t="e">
        <f t="shared" si="174"/>
        <v>#DIV/0!</v>
      </c>
      <c r="R308" s="160" t="e">
        <f t="shared" si="182"/>
        <v>#DIV/0!</v>
      </c>
      <c r="S308" s="160" t="e">
        <f t="shared" si="183"/>
        <v>#DIV/0!</v>
      </c>
      <c r="T308" s="160" t="e">
        <f t="shared" si="175"/>
        <v>#DIV/0!</v>
      </c>
      <c r="U308" s="160" t="e">
        <f t="shared" si="184"/>
        <v>#DIV/0!</v>
      </c>
      <c r="V308" s="160" t="e">
        <f t="shared" si="185"/>
        <v>#DIV/0!</v>
      </c>
      <c r="W308" s="98" t="str">
        <f t="shared" si="176"/>
        <v>1-0.397713259638083i</v>
      </c>
      <c r="X308" s="160">
        <f t="shared" si="186"/>
        <v>1.0761857817737368</v>
      </c>
      <c r="Y308" s="160">
        <f t="shared" si="187"/>
        <v>-0.37853349609364434</v>
      </c>
      <c r="Z308" s="98" t="str">
        <f t="shared" si="177"/>
        <v>0.998696369122975+0.0472274662611289i</v>
      </c>
      <c r="AA308" s="160">
        <f t="shared" si="188"/>
        <v>0.99981241804093401</v>
      </c>
      <c r="AB308" s="160">
        <f t="shared" si="189"/>
        <v>4.7253910776161069E-2</v>
      </c>
      <c r="AC308" s="171" t="e">
        <f t="shared" si="190"/>
        <v>#DIV/0!</v>
      </c>
      <c r="AD308" s="190" t="e">
        <f t="shared" si="191"/>
        <v>#DIV/0!</v>
      </c>
      <c r="AE308" s="169" t="e">
        <f t="shared" si="192"/>
        <v>#DIV/0!</v>
      </c>
      <c r="AF308" s="98" t="str">
        <f t="shared" si="178"/>
        <v>-0.0000182926829268293</v>
      </c>
      <c r="AG308" s="98" t="str">
        <f t="shared" si="179"/>
        <v>0.00110898053385515i</v>
      </c>
      <c r="AH308" s="98">
        <f t="shared" si="193"/>
        <v>1.1089805338551501E-3</v>
      </c>
      <c r="AI308" s="98">
        <f t="shared" si="194"/>
        <v>1.5707963267948966</v>
      </c>
      <c r="AJ308" s="98" t="str">
        <f t="shared" si="180"/>
        <v>1+0.108712923620738i</v>
      </c>
      <c r="AK308" s="98">
        <f t="shared" si="195"/>
        <v>1.0058918926813996</v>
      </c>
      <c r="AL308" s="98">
        <f t="shared" si="196"/>
        <v>0.10828766060061003</v>
      </c>
      <c r="AM308" s="98" t="str">
        <f t="shared" si="181"/>
        <v>1+10.9800052856945i</v>
      </c>
      <c r="AN308" s="98">
        <f t="shared" si="197"/>
        <v>11.025448565653878</v>
      </c>
      <c r="AO308" s="98">
        <f t="shared" si="198"/>
        <v>1.479972252497916</v>
      </c>
      <c r="AP308" s="168" t="str">
        <f t="shared" si="199"/>
        <v>-0.177227880399885+0.0357620052289389i</v>
      </c>
      <c r="AQ308" s="98">
        <f t="shared" si="200"/>
        <v>-14.856031130582739</v>
      </c>
      <c r="AR308" s="169">
        <f t="shared" si="201"/>
        <v>168.59173793884034</v>
      </c>
      <c r="AS308" s="168" t="e">
        <f t="shared" si="202"/>
        <v>#DIV/0!</v>
      </c>
      <c r="AT308" s="190" t="e">
        <f t="shared" si="203"/>
        <v>#DIV/0!</v>
      </c>
      <c r="AU308" s="169" t="e">
        <f t="shared" si="204"/>
        <v>#DIV/0!</v>
      </c>
      <c r="AV308" s="225"/>
      <c r="AX308" t="e">
        <f t="shared" si="205"/>
        <v>#DIV/0!</v>
      </c>
      <c r="AY308" t="e">
        <f t="shared" si="206"/>
        <v>#DIV/0!</v>
      </c>
    </row>
    <row r="309" spans="14:51" x14ac:dyDescent="0.25">
      <c r="N309" s="170">
        <v>91</v>
      </c>
      <c r="O309" s="199">
        <f t="shared" si="207"/>
        <v>8128.3051616410066</v>
      </c>
      <c r="P309" s="189" t="str">
        <f t="shared" si="173"/>
        <v>290</v>
      </c>
      <c r="Q309" s="160" t="e">
        <f t="shared" si="174"/>
        <v>#DIV/0!</v>
      </c>
      <c r="R309" s="160" t="e">
        <f t="shared" si="182"/>
        <v>#DIV/0!</v>
      </c>
      <c r="S309" s="160" t="e">
        <f t="shared" si="183"/>
        <v>#DIV/0!</v>
      </c>
      <c r="T309" s="160" t="e">
        <f t="shared" si="175"/>
        <v>#DIV/0!</v>
      </c>
      <c r="U309" s="160" t="e">
        <f t="shared" si="184"/>
        <v>#DIV/0!</v>
      </c>
      <c r="V309" s="160" t="e">
        <f t="shared" si="185"/>
        <v>#DIV/0!</v>
      </c>
      <c r="W309" s="98" t="str">
        <f t="shared" si="176"/>
        <v>1-0.406977191524788i</v>
      </c>
      <c r="X309" s="160">
        <f t="shared" si="186"/>
        <v>1.0796436608536188</v>
      </c>
      <c r="Y309" s="160">
        <f t="shared" si="187"/>
        <v>-0.38650668888805478</v>
      </c>
      <c r="Z309" s="98" t="str">
        <f t="shared" si="177"/>
        <v>0.998634930892546+0.0483275352681891i</v>
      </c>
      <c r="AA309" s="160">
        <f t="shared" si="188"/>
        <v>0.99980361864911171</v>
      </c>
      <c r="AB309" s="160">
        <f t="shared" si="189"/>
        <v>4.8355870565721708E-2</v>
      </c>
      <c r="AC309" s="171" t="e">
        <f t="shared" si="190"/>
        <v>#DIV/0!</v>
      </c>
      <c r="AD309" s="190" t="e">
        <f t="shared" si="191"/>
        <v>#DIV/0!</v>
      </c>
      <c r="AE309" s="169" t="e">
        <f t="shared" si="192"/>
        <v>#DIV/0!</v>
      </c>
      <c r="AF309" s="98" t="str">
        <f t="shared" si="178"/>
        <v>-0.0000182926829268293</v>
      </c>
      <c r="AG309" s="98" t="str">
        <f t="shared" si="179"/>
        <v>0.00113481200886974i</v>
      </c>
      <c r="AH309" s="98">
        <f t="shared" si="193"/>
        <v>1.13481200886974E-3</v>
      </c>
      <c r="AI309" s="98">
        <f t="shared" si="194"/>
        <v>1.5707963267948966</v>
      </c>
      <c r="AJ309" s="98" t="str">
        <f t="shared" si="180"/>
        <v>1+0.111245172911454i</v>
      </c>
      <c r="AK309" s="98">
        <f t="shared" si="195"/>
        <v>1.0061687177089633</v>
      </c>
      <c r="AL309" s="98">
        <f t="shared" si="196"/>
        <v>0.11078964612494628</v>
      </c>
      <c r="AM309" s="98" t="str">
        <f t="shared" si="181"/>
        <v>1+11.2357624640568i</v>
      </c>
      <c r="AN309" s="98">
        <f t="shared" si="197"/>
        <v>11.28017544848961</v>
      </c>
      <c r="AO309" s="98">
        <f t="shared" si="198"/>
        <v>1.482028692370511</v>
      </c>
      <c r="AP309" s="168" t="str">
        <f t="shared" si="199"/>
        <v>-0.177130373166806+0.035824470147843i</v>
      </c>
      <c r="AQ309" s="98">
        <f t="shared" si="200"/>
        <v>-14.860029449401077</v>
      </c>
      <c r="AR309" s="169">
        <f t="shared" si="201"/>
        <v>168.56621005341515</v>
      </c>
      <c r="AS309" s="168" t="e">
        <f t="shared" si="202"/>
        <v>#DIV/0!</v>
      </c>
      <c r="AT309" s="190" t="e">
        <f t="shared" si="203"/>
        <v>#DIV/0!</v>
      </c>
      <c r="AU309" s="169" t="e">
        <f t="shared" si="204"/>
        <v>#DIV/0!</v>
      </c>
      <c r="AV309" s="225"/>
      <c r="AX309" t="e">
        <f t="shared" si="205"/>
        <v>#DIV/0!</v>
      </c>
      <c r="AY309" t="e">
        <f t="shared" si="206"/>
        <v>#DIV/0!</v>
      </c>
    </row>
    <row r="310" spans="14:51" x14ac:dyDescent="0.25">
      <c r="N310" s="170">
        <v>92</v>
      </c>
      <c r="O310" s="199">
        <f t="shared" si="207"/>
        <v>8317.6377110267094</v>
      </c>
      <c r="P310" s="189" t="str">
        <f t="shared" si="173"/>
        <v>290</v>
      </c>
      <c r="Q310" s="160" t="e">
        <f t="shared" si="174"/>
        <v>#DIV/0!</v>
      </c>
      <c r="R310" s="160" t="e">
        <f t="shared" si="182"/>
        <v>#DIV/0!</v>
      </c>
      <c r="S310" s="160" t="e">
        <f t="shared" si="183"/>
        <v>#DIV/0!</v>
      </c>
      <c r="T310" s="160" t="e">
        <f t="shared" si="175"/>
        <v>#DIV/0!</v>
      </c>
      <c r="U310" s="160" t="e">
        <f t="shared" si="184"/>
        <v>#DIV/0!</v>
      </c>
      <c r="V310" s="160" t="e">
        <f t="shared" si="185"/>
        <v>#DIV/0!</v>
      </c>
      <c r="W310" s="98" t="str">
        <f t="shared" si="176"/>
        <v>1-0.416456908105417i</v>
      </c>
      <c r="X310" s="160">
        <f t="shared" si="186"/>
        <v>1.0832526742679769</v>
      </c>
      <c r="Y310" s="160">
        <f t="shared" si="187"/>
        <v>-0.39461237720233894</v>
      </c>
      <c r="Z310" s="98" t="str">
        <f t="shared" si="177"/>
        <v>0.998570597167523+0.0494532281741389i</v>
      </c>
      <c r="AA310" s="160">
        <f t="shared" si="188"/>
        <v>0.99979440851824486</v>
      </c>
      <c r="AB310" s="160">
        <f t="shared" si="189"/>
        <v>4.9483589419170429E-2</v>
      </c>
      <c r="AC310" s="171" t="e">
        <f t="shared" si="190"/>
        <v>#DIV/0!</v>
      </c>
      <c r="AD310" s="190" t="e">
        <f t="shared" si="191"/>
        <v>#DIV/0!</v>
      </c>
      <c r="AE310" s="169" t="e">
        <f t="shared" si="192"/>
        <v>#DIV/0!</v>
      </c>
      <c r="AF310" s="98" t="str">
        <f t="shared" si="178"/>
        <v>-0.0000182926829268293</v>
      </c>
      <c r="AG310" s="98" t="str">
        <f t="shared" si="179"/>
        <v>0.00116124517623245i</v>
      </c>
      <c r="AH310" s="98">
        <f t="shared" si="193"/>
        <v>1.1612451762324501E-3</v>
      </c>
      <c r="AI310" s="98">
        <f t="shared" si="194"/>
        <v>1.5707963267948966</v>
      </c>
      <c r="AJ310" s="98" t="str">
        <f t="shared" si="180"/>
        <v>1+0.113836405865352i</v>
      </c>
      <c r="AK310" s="98">
        <f t="shared" si="195"/>
        <v>1.0064585074906671</v>
      </c>
      <c r="AL310" s="98">
        <f t="shared" si="196"/>
        <v>0.11334846912694566</v>
      </c>
      <c r="AM310" s="98" t="str">
        <f t="shared" si="181"/>
        <v>1+11.4974769924005i</v>
      </c>
      <c r="AN310" s="98">
        <f t="shared" si="197"/>
        <v>11.540882860109916</v>
      </c>
      <c r="AO310" s="98">
        <f t="shared" si="198"/>
        <v>1.4840390496041469</v>
      </c>
      <c r="AP310" s="168" t="str">
        <f t="shared" si="199"/>
        <v>-0.177028385490254+0.0359049200608532i</v>
      </c>
      <c r="AQ310" s="98">
        <f t="shared" si="200"/>
        <v>-14.864067171792435</v>
      </c>
      <c r="AR310" s="169">
        <f t="shared" si="201"/>
        <v>168.53478527968051</v>
      </c>
      <c r="AS310" s="168" t="e">
        <f t="shared" si="202"/>
        <v>#DIV/0!</v>
      </c>
      <c r="AT310" s="190" t="e">
        <f t="shared" si="203"/>
        <v>#DIV/0!</v>
      </c>
      <c r="AU310" s="169" t="e">
        <f t="shared" si="204"/>
        <v>#DIV/0!</v>
      </c>
      <c r="AV310" s="225"/>
      <c r="AX310" t="e">
        <f t="shared" si="205"/>
        <v>#DIV/0!</v>
      </c>
      <c r="AY310" t="e">
        <f t="shared" si="206"/>
        <v>#DIV/0!</v>
      </c>
    </row>
    <row r="311" spans="14:51" x14ac:dyDescent="0.25">
      <c r="N311" s="170">
        <v>93</v>
      </c>
      <c r="O311" s="199">
        <f t="shared" si="207"/>
        <v>8511.3803820237772</v>
      </c>
      <c r="P311" s="189" t="str">
        <f t="shared" si="173"/>
        <v>290</v>
      </c>
      <c r="Q311" s="160" t="e">
        <f t="shared" si="174"/>
        <v>#DIV/0!</v>
      </c>
      <c r="R311" s="160" t="e">
        <f t="shared" si="182"/>
        <v>#DIV/0!</v>
      </c>
      <c r="S311" s="160" t="e">
        <f t="shared" si="183"/>
        <v>#DIV/0!</v>
      </c>
      <c r="T311" s="160" t="e">
        <f t="shared" si="175"/>
        <v>#DIV/0!</v>
      </c>
      <c r="U311" s="160" t="e">
        <f t="shared" si="184"/>
        <v>#DIV/0!</v>
      </c>
      <c r="V311" s="160" t="e">
        <f t="shared" si="185"/>
        <v>#DIV/0!</v>
      </c>
      <c r="W311" s="98" t="str">
        <f t="shared" si="176"/>
        <v>1-0.426157435651184i</v>
      </c>
      <c r="X311" s="160">
        <f t="shared" si="186"/>
        <v>1.0870189326597735</v>
      </c>
      <c r="Y311" s="160">
        <f t="shared" si="187"/>
        <v>-0.40285059724114092</v>
      </c>
      <c r="Z311" s="98" t="str">
        <f t="shared" si="177"/>
        <v>0.998503231487448+0.0506051418362575i</v>
      </c>
      <c r="AA311" s="160">
        <f t="shared" si="188"/>
        <v>0.9997847686733099</v>
      </c>
      <c r="AB311" s="160">
        <f t="shared" si="189"/>
        <v>5.0637673853051991E-2</v>
      </c>
      <c r="AC311" s="171" t="e">
        <f t="shared" si="190"/>
        <v>#DIV/0!</v>
      </c>
      <c r="AD311" s="190" t="e">
        <f t="shared" si="191"/>
        <v>#DIV/0!</v>
      </c>
      <c r="AE311" s="169" t="e">
        <f t="shared" si="192"/>
        <v>#DIV/0!</v>
      </c>
      <c r="AF311" s="98" t="str">
        <f t="shared" si="178"/>
        <v>-0.0000182926829268293</v>
      </c>
      <c r="AG311" s="98" t="str">
        <f t="shared" si="179"/>
        <v>0.0011882940511585i</v>
      </c>
      <c r="AH311" s="98">
        <f t="shared" si="193"/>
        <v>1.1882940511585001E-3</v>
      </c>
      <c r="AI311" s="98">
        <f t="shared" si="194"/>
        <v>1.5707963267948966</v>
      </c>
      <c r="AJ311" s="98" t="str">
        <f t="shared" si="180"/>
        <v>1+0.116487996388442i</v>
      </c>
      <c r="AK311" s="98">
        <f t="shared" si="195"/>
        <v>1.0067618652405312</v>
      </c>
      <c r="AL311" s="98">
        <f t="shared" si="196"/>
        <v>0.11596535222313512</v>
      </c>
      <c r="AM311" s="98" t="str">
        <f t="shared" si="181"/>
        <v>1+11.7652876352326i</v>
      </c>
      <c r="AN311" s="98">
        <f t="shared" si="197"/>
        <v>11.807709055517799</v>
      </c>
      <c r="AO311" s="98">
        <f t="shared" si="198"/>
        <v>1.4860043250813582</v>
      </c>
      <c r="AP311" s="168" t="str">
        <f t="shared" si="199"/>
        <v>-0.176921717084054+0.0360033272855338i</v>
      </c>
      <c r="AQ311" s="98">
        <f t="shared" si="200"/>
        <v>-14.868152589950494</v>
      </c>
      <c r="AR311" s="169">
        <f t="shared" si="201"/>
        <v>168.49745091321458</v>
      </c>
      <c r="AS311" s="168" t="e">
        <f t="shared" si="202"/>
        <v>#DIV/0!</v>
      </c>
      <c r="AT311" s="190" t="e">
        <f t="shared" si="203"/>
        <v>#DIV/0!</v>
      </c>
      <c r="AU311" s="169" t="e">
        <f t="shared" si="204"/>
        <v>#DIV/0!</v>
      </c>
      <c r="AV311" s="225"/>
      <c r="AX311" t="e">
        <f t="shared" si="205"/>
        <v>#DIV/0!</v>
      </c>
      <c r="AY311" t="e">
        <f t="shared" si="206"/>
        <v>#DIV/0!</v>
      </c>
    </row>
    <row r="312" spans="14:51" x14ac:dyDescent="0.25">
      <c r="N312" s="170">
        <v>94</v>
      </c>
      <c r="O312" s="199">
        <f t="shared" si="207"/>
        <v>8709.6358995608189</v>
      </c>
      <c r="P312" s="189" t="str">
        <f t="shared" si="173"/>
        <v>290</v>
      </c>
      <c r="Q312" s="160" t="e">
        <f t="shared" si="174"/>
        <v>#DIV/0!</v>
      </c>
      <c r="R312" s="160" t="e">
        <f t="shared" si="182"/>
        <v>#DIV/0!</v>
      </c>
      <c r="S312" s="160" t="e">
        <f t="shared" si="183"/>
        <v>#DIV/0!</v>
      </c>
      <c r="T312" s="160" t="e">
        <f t="shared" si="175"/>
        <v>#DIV/0!</v>
      </c>
      <c r="U312" s="160" t="e">
        <f t="shared" si="184"/>
        <v>#DIV/0!</v>
      </c>
      <c r="V312" s="160" t="e">
        <f t="shared" si="185"/>
        <v>#DIV/0!</v>
      </c>
      <c r="W312" s="98" t="str">
        <f t="shared" si="176"/>
        <v>1-0.436083917510193i</v>
      </c>
      <c r="X312" s="160">
        <f t="shared" si="186"/>
        <v>1.0909487536594178</v>
      </c>
      <c r="Y312" s="160">
        <f t="shared" si="187"/>
        <v>-0.41122124305685415</v>
      </c>
      <c r="Z312" s="98" t="str">
        <f t="shared" si="177"/>
        <v>0.998432690960684+0.0517838870144159i</v>
      </c>
      <c r="AA312" s="160">
        <f t="shared" si="188"/>
        <v>0.99977467928194408</v>
      </c>
      <c r="AB312" s="160">
        <f t="shared" si="189"/>
        <v>5.1818744976390649E-2</v>
      </c>
      <c r="AC312" s="171" t="e">
        <f t="shared" si="190"/>
        <v>#DIV/0!</v>
      </c>
      <c r="AD312" s="190" t="e">
        <f t="shared" si="191"/>
        <v>#DIV/0!</v>
      </c>
      <c r="AE312" s="169" t="e">
        <f t="shared" si="192"/>
        <v>#DIV/0!</v>
      </c>
      <c r="AF312" s="98" t="str">
        <f t="shared" si="178"/>
        <v>-0.0000182926829268293</v>
      </c>
      <c r="AG312" s="98" t="str">
        <f t="shared" si="179"/>
        <v>0.0012159729753194i</v>
      </c>
      <c r="AH312" s="98">
        <f t="shared" si="193"/>
        <v>1.2159729753194E-3</v>
      </c>
      <c r="AI312" s="98">
        <f t="shared" si="194"/>
        <v>1.5707963267948966</v>
      </c>
      <c r="AJ312" s="98" t="str">
        <f t="shared" si="180"/>
        <v>1+0.119201350389119i</v>
      </c>
      <c r="AK312" s="98">
        <f t="shared" si="195"/>
        <v>1.0070794218603563</v>
      </c>
      <c r="AL312" s="98">
        <f t="shared" si="196"/>
        <v>0.1186415394771838</v>
      </c>
      <c r="AM312" s="98" t="str">
        <f t="shared" si="181"/>
        <v>1+12.039336389301i</v>
      </c>
      <c r="AN312" s="98">
        <f t="shared" si="197"/>
        <v>12.0807955323624</v>
      </c>
      <c r="AO312" s="98">
        <f t="shared" si="198"/>
        <v>1.4879255000595162</v>
      </c>
      <c r="AP312" s="168" t="str">
        <f t="shared" si="199"/>
        <v>-0.176810159239953+0.0361196688532199i</v>
      </c>
      <c r="AQ312" s="98">
        <f t="shared" si="200"/>
        <v>-14.87229408503444</v>
      </c>
      <c r="AR312" s="169">
        <f t="shared" si="201"/>
        <v>168.45419189632545</v>
      </c>
      <c r="AS312" s="168" t="e">
        <f t="shared" si="202"/>
        <v>#DIV/0!</v>
      </c>
      <c r="AT312" s="190" t="e">
        <f t="shared" si="203"/>
        <v>#DIV/0!</v>
      </c>
      <c r="AU312" s="169" t="e">
        <f t="shared" si="204"/>
        <v>#DIV/0!</v>
      </c>
      <c r="AV312" s="225"/>
      <c r="AX312" t="e">
        <f t="shared" si="205"/>
        <v>#DIV/0!</v>
      </c>
      <c r="AY312" t="e">
        <f t="shared" si="206"/>
        <v>#DIV/0!</v>
      </c>
    </row>
    <row r="313" spans="14:51" x14ac:dyDescent="0.25">
      <c r="N313" s="170">
        <v>95</v>
      </c>
      <c r="O313" s="199">
        <f t="shared" si="207"/>
        <v>8912.5093813374679</v>
      </c>
      <c r="P313" s="189" t="str">
        <f t="shared" si="173"/>
        <v>290</v>
      </c>
      <c r="Q313" s="160" t="e">
        <f t="shared" si="174"/>
        <v>#DIV/0!</v>
      </c>
      <c r="R313" s="160" t="e">
        <f t="shared" si="182"/>
        <v>#DIV/0!</v>
      </c>
      <c r="S313" s="160" t="e">
        <f t="shared" si="183"/>
        <v>#DIV/0!</v>
      </c>
      <c r="T313" s="160" t="e">
        <f t="shared" si="175"/>
        <v>#DIV/0!</v>
      </c>
      <c r="U313" s="160" t="e">
        <f t="shared" si="184"/>
        <v>#DIV/0!</v>
      </c>
      <c r="V313" s="160" t="e">
        <f t="shared" si="185"/>
        <v>#DIV/0!</v>
      </c>
      <c r="W313" s="98" t="str">
        <f t="shared" si="176"/>
        <v>1-0.446241616834518i</v>
      </c>
      <c r="X313" s="160">
        <f t="shared" si="186"/>
        <v>1.0950486658569494</v>
      </c>
      <c r="Y313" s="160">
        <f t="shared" si="187"/>
        <v>-0.41972405972981375</v>
      </c>
      <c r="Z313" s="98" t="str">
        <f t="shared" si="177"/>
        <v>0.998358825961313+0.0529900886949101i</v>
      </c>
      <c r="AA313" s="160">
        <f t="shared" si="188"/>
        <v>0.99976411961759537</v>
      </c>
      <c r="AB313" s="160">
        <f t="shared" si="189"/>
        <v>5.3027438863749256E-2</v>
      </c>
      <c r="AC313" s="171" t="e">
        <f t="shared" si="190"/>
        <v>#DIV/0!</v>
      </c>
      <c r="AD313" s="190" t="e">
        <f t="shared" si="191"/>
        <v>#DIV/0!</v>
      </c>
      <c r="AE313" s="169" t="e">
        <f t="shared" si="192"/>
        <v>#DIV/0!</v>
      </c>
      <c r="AF313" s="98" t="str">
        <f t="shared" si="178"/>
        <v>-0.0000182926829268293</v>
      </c>
      <c r="AG313" s="98" t="str">
        <f t="shared" si="179"/>
        <v>0.00124429662444712i</v>
      </c>
      <c r="AH313" s="98">
        <f t="shared" si="193"/>
        <v>1.2442966244471201E-3</v>
      </c>
      <c r="AI313" s="98">
        <f t="shared" si="194"/>
        <v>1.5707963267948966</v>
      </c>
      <c r="AJ313" s="98" t="str">
        <f t="shared" si="180"/>
        <v>1+0.121977906523588i</v>
      </c>
      <c r="AK313" s="98">
        <f t="shared" si="195"/>
        <v>1.0074118371747858</v>
      </c>
      <c r="AL313" s="98">
        <f t="shared" si="196"/>
        <v>0.12137829642204197</v>
      </c>
      <c r="AM313" s="98" t="str">
        <f t="shared" si="181"/>
        <v>1+12.3197685588823i</v>
      </c>
      <c r="AN313" s="98">
        <f t="shared" si="197"/>
        <v>12.360287106067757</v>
      </c>
      <c r="AO313" s="98">
        <f t="shared" si="198"/>
        <v>1.4898035364123583</v>
      </c>
      <c r="AP313" s="168" t="str">
        <f t="shared" si="199"/>
        <v>-0.176693494524241+0.0362539261793852i</v>
      </c>
      <c r="AQ313" s="98">
        <f t="shared" si="200"/>
        <v>-14.876500142625106</v>
      </c>
      <c r="AR313" s="169">
        <f t="shared" si="201"/>
        <v>168.40499083062195</v>
      </c>
      <c r="AS313" s="168" t="e">
        <f t="shared" si="202"/>
        <v>#DIV/0!</v>
      </c>
      <c r="AT313" s="190" t="e">
        <f t="shared" si="203"/>
        <v>#DIV/0!</v>
      </c>
      <c r="AU313" s="169" t="e">
        <f t="shared" si="204"/>
        <v>#DIV/0!</v>
      </c>
      <c r="AV313" s="225"/>
      <c r="AX313" t="e">
        <f t="shared" si="205"/>
        <v>#DIV/0!</v>
      </c>
      <c r="AY313" t="e">
        <f t="shared" si="206"/>
        <v>#DIV/0!</v>
      </c>
    </row>
    <row r="314" spans="14:51" x14ac:dyDescent="0.25">
      <c r="N314" s="170">
        <v>96</v>
      </c>
      <c r="O314" s="199">
        <f t="shared" si="207"/>
        <v>9120.1083935591087</v>
      </c>
      <c r="P314" s="189" t="str">
        <f t="shared" si="173"/>
        <v>290</v>
      </c>
      <c r="Q314" s="160" t="e">
        <f t="shared" si="174"/>
        <v>#DIV/0!</v>
      </c>
      <c r="R314" s="160" t="e">
        <f t="shared" si="182"/>
        <v>#DIV/0!</v>
      </c>
      <c r="S314" s="160" t="e">
        <f t="shared" si="183"/>
        <v>#DIV/0!</v>
      </c>
      <c r="T314" s="160" t="e">
        <f t="shared" si="175"/>
        <v>#DIV/0!</v>
      </c>
      <c r="U314" s="160" t="e">
        <f t="shared" si="184"/>
        <v>#DIV/0!</v>
      </c>
      <c r="V314" s="160" t="e">
        <f t="shared" si="185"/>
        <v>#DIV/0!</v>
      </c>
      <c r="W314" s="98" t="str">
        <f t="shared" si="176"/>
        <v>1-0.456635919370796i</v>
      </c>
      <c r="X314" s="160">
        <f t="shared" si="186"/>
        <v>1.0993254126324981</v>
      </c>
      <c r="Y314" s="160">
        <f t="shared" si="187"/>
        <v>-0.42835863663359863</v>
      </c>
      <c r="Z314" s="98" t="str">
        <f t="shared" si="177"/>
        <v>0.998281479811771+0.0542243864218371i</v>
      </c>
      <c r="AA314" s="160">
        <f t="shared" si="188"/>
        <v>0.99975306802130093</v>
      </c>
      <c r="AB314" s="160">
        <f t="shared" si="189"/>
        <v>5.4264406939336596E-2</v>
      </c>
      <c r="AC314" s="171" t="e">
        <f t="shared" si="190"/>
        <v>#DIV/0!</v>
      </c>
      <c r="AD314" s="190" t="e">
        <f t="shared" si="191"/>
        <v>#DIV/0!</v>
      </c>
      <c r="AE314" s="169" t="e">
        <f t="shared" si="192"/>
        <v>#DIV/0!</v>
      </c>
      <c r="AF314" s="98" t="str">
        <f t="shared" si="178"/>
        <v>-0.0000182926829268293</v>
      </c>
      <c r="AG314" s="98" t="str">
        <f t="shared" si="179"/>
        <v>0.00127328001611533i</v>
      </c>
      <c r="AH314" s="98">
        <f t="shared" si="193"/>
        <v>1.2732800161153301E-3</v>
      </c>
      <c r="AI314" s="98">
        <f t="shared" si="194"/>
        <v>1.5707963267948966</v>
      </c>
      <c r="AJ314" s="98" t="str">
        <f t="shared" si="180"/>
        <v>1+0.124819136958664i</v>
      </c>
      <c r="AK314" s="98">
        <f t="shared" si="195"/>
        <v>1.0077598012180808</v>
      </c>
      <c r="AL314" s="98">
        <f t="shared" si="196"/>
        <v>0.12417691005146352</v>
      </c>
      <c r="AM314" s="98" t="str">
        <f t="shared" si="181"/>
        <v>1+12.6067328328251i</v>
      </c>
      <c r="AN314" s="98">
        <f t="shared" si="197"/>
        <v>12.646331986715769</v>
      </c>
      <c r="AO314" s="98">
        <f t="shared" si="198"/>
        <v>1.4916393768791292</v>
      </c>
      <c r="AP314" s="168" t="str">
        <f t="shared" si="199"/>
        <v>-0.176571496468481+0.0364060847167133i</v>
      </c>
      <c r="AQ314" s="98">
        <f t="shared" si="200"/>
        <v>-14.880779368287349</v>
      </c>
      <c r="AR314" s="169">
        <f t="shared" si="201"/>
        <v>168.34982799177357</v>
      </c>
      <c r="AS314" s="168" t="e">
        <f t="shared" si="202"/>
        <v>#DIV/0!</v>
      </c>
      <c r="AT314" s="190" t="e">
        <f t="shared" si="203"/>
        <v>#DIV/0!</v>
      </c>
      <c r="AU314" s="169" t="e">
        <f t="shared" si="204"/>
        <v>#DIV/0!</v>
      </c>
      <c r="AV314" s="225"/>
      <c r="AX314" t="e">
        <f t="shared" si="205"/>
        <v>#DIV/0!</v>
      </c>
      <c r="AY314" t="e">
        <f t="shared" si="206"/>
        <v>#DIV/0!</v>
      </c>
    </row>
    <row r="315" spans="14:51" x14ac:dyDescent="0.25">
      <c r="N315" s="170">
        <v>97</v>
      </c>
      <c r="O315" s="199">
        <f t="shared" si="207"/>
        <v>9332.5430079699217</v>
      </c>
      <c r="P315" s="189" t="str">
        <f t="shared" si="173"/>
        <v>290</v>
      </c>
      <c r="Q315" s="160" t="e">
        <f t="shared" si="174"/>
        <v>#DIV/0!</v>
      </c>
      <c r="R315" s="160" t="e">
        <f t="shared" si="182"/>
        <v>#DIV/0!</v>
      </c>
      <c r="S315" s="160" t="e">
        <f t="shared" si="183"/>
        <v>#DIV/0!</v>
      </c>
      <c r="T315" s="160" t="e">
        <f t="shared" si="175"/>
        <v>#DIV/0!</v>
      </c>
      <c r="U315" s="160" t="e">
        <f t="shared" si="184"/>
        <v>#DIV/0!</v>
      </c>
      <c r="V315" s="160" t="e">
        <f t="shared" si="185"/>
        <v>#DIV/0!</v>
      </c>
      <c r="W315" s="98" t="str">
        <f t="shared" si="176"/>
        <v>1-0.467272336315815i</v>
      </c>
      <c r="X315" s="160">
        <f t="shared" si="186"/>
        <v>1.1037859558293175</v>
      </c>
      <c r="Y315" s="160">
        <f t="shared" si="187"/>
        <v>-0.43712440082678622</v>
      </c>
      <c r="Z315" s="98" t="str">
        <f t="shared" si="177"/>
        <v>0.998200488450504+0.0554874346361896i</v>
      </c>
      <c r="AA315" s="160">
        <f t="shared" si="188"/>
        <v>0.99974150186202138</v>
      </c>
      <c r="AB315" s="160">
        <f t="shared" si="189"/>
        <v>5.5530316372589955E-2</v>
      </c>
      <c r="AC315" s="171" t="e">
        <f t="shared" si="190"/>
        <v>#DIV/0!</v>
      </c>
      <c r="AD315" s="190" t="e">
        <f t="shared" si="191"/>
        <v>#DIV/0!</v>
      </c>
      <c r="AE315" s="169" t="e">
        <f t="shared" si="192"/>
        <v>#DIV/0!</v>
      </c>
      <c r="AF315" s="98" t="str">
        <f t="shared" si="178"/>
        <v>-0.0000182926829268293</v>
      </c>
      <c r="AG315" s="98" t="str">
        <f t="shared" si="179"/>
        <v>0.00130293851770195i</v>
      </c>
      <c r="AH315" s="98">
        <f t="shared" si="193"/>
        <v>1.3029385177019499E-3</v>
      </c>
      <c r="AI315" s="98">
        <f t="shared" si="194"/>
        <v>1.5707963267948966</v>
      </c>
      <c r="AJ315" s="98" t="str">
        <f t="shared" si="180"/>
        <v>1+0.127726548152333i</v>
      </c>
      <c r="AK315" s="98">
        <f t="shared" si="195"/>
        <v>1.0081240355744476</v>
      </c>
      <c r="AL315" s="98">
        <f t="shared" si="196"/>
        <v>0.12703868877830152</v>
      </c>
      <c r="AM315" s="98" t="str">
        <f t="shared" si="181"/>
        <v>1+12.9003813633856i</v>
      </c>
      <c r="AN315" s="98">
        <f t="shared" si="197"/>
        <v>12.939081857720298</v>
      </c>
      <c r="AO315" s="98">
        <f t="shared" si="198"/>
        <v>1.4934339453203254</v>
      </c>
      <c r="AP315" s="168" t="str">
        <f t="shared" si="199"/>
        <v>-0.176443929254703+0.0365761335896179i</v>
      </c>
      <c r="AQ315" s="98">
        <f t="shared" si="200"/>
        <v>-14.885140503256791</v>
      </c>
      <c r="AR315" s="169">
        <f t="shared" si="201"/>
        <v>168.28868134655335</v>
      </c>
      <c r="AS315" s="168" t="e">
        <f t="shared" si="202"/>
        <v>#DIV/0!</v>
      </c>
      <c r="AT315" s="190" t="e">
        <f t="shared" si="203"/>
        <v>#DIV/0!</v>
      </c>
      <c r="AU315" s="169" t="e">
        <f t="shared" si="204"/>
        <v>#DIV/0!</v>
      </c>
      <c r="AV315" s="225"/>
      <c r="AX315" t="e">
        <f t="shared" si="205"/>
        <v>#DIV/0!</v>
      </c>
      <c r="AY315" t="e">
        <f t="shared" si="206"/>
        <v>#DIV/0!</v>
      </c>
    </row>
    <row r="316" spans="14:51" x14ac:dyDescent="0.25">
      <c r="N316" s="170">
        <v>98</v>
      </c>
      <c r="O316" s="199">
        <f t="shared" si="207"/>
        <v>9549.9258602143691</v>
      </c>
      <c r="P316" s="189" t="str">
        <f t="shared" si="173"/>
        <v>290</v>
      </c>
      <c r="Q316" s="160" t="e">
        <f t="shared" si="174"/>
        <v>#DIV/0!</v>
      </c>
      <c r="R316" s="160" t="e">
        <f t="shared" si="182"/>
        <v>#DIV/0!</v>
      </c>
      <c r="S316" s="160" t="e">
        <f t="shared" si="183"/>
        <v>#DIV/0!</v>
      </c>
      <c r="T316" s="160" t="e">
        <f t="shared" si="175"/>
        <v>#DIV/0!</v>
      </c>
      <c r="U316" s="160" t="e">
        <f t="shared" si="184"/>
        <v>#DIV/0!</v>
      </c>
      <c r="V316" s="160" t="e">
        <f t="shared" si="185"/>
        <v>#DIV/0!</v>
      </c>
      <c r="W316" s="98" t="str">
        <f t="shared" si="176"/>
        <v>1-0.478156507238629i</v>
      </c>
      <c r="X316" s="160">
        <f t="shared" si="186"/>
        <v>1.1084374792538572</v>
      </c>
      <c r="Y316" s="160">
        <f t="shared" si="187"/>
        <v>-0.44602061061522524</v>
      </c>
      <c r="Z316" s="98" t="str">
        <f t="shared" si="177"/>
        <v>0.998115680083975+0.0567799030228492i</v>
      </c>
      <c r="AA316" s="160">
        <f t="shared" si="188"/>
        <v>0.99972939749553225</v>
      </c>
      <c r="AB316" s="160">
        <f t="shared" si="189"/>
        <v>5.6825850485677586E-2</v>
      </c>
      <c r="AC316" s="171" t="e">
        <f t="shared" si="190"/>
        <v>#DIV/0!</v>
      </c>
      <c r="AD316" s="190" t="e">
        <f t="shared" si="191"/>
        <v>#DIV/0!</v>
      </c>
      <c r="AE316" s="169" t="e">
        <f t="shared" si="192"/>
        <v>#DIV/0!</v>
      </c>
      <c r="AF316" s="98" t="str">
        <f t="shared" si="178"/>
        <v>-0.0000182926829268293</v>
      </c>
      <c r="AG316" s="98" t="str">
        <f t="shared" si="179"/>
        <v>0.00133328785453707i</v>
      </c>
      <c r="AH316" s="98">
        <f t="shared" si="193"/>
        <v>1.3332878545370701E-3</v>
      </c>
      <c r="AI316" s="98">
        <f t="shared" si="194"/>
        <v>1.5707963267948966</v>
      </c>
      <c r="AJ316" s="98" t="str">
        <f t="shared" si="180"/>
        <v>1+0.130701681652492i</v>
      </c>
      <c r="AK316" s="98">
        <f t="shared" si="195"/>
        <v>1.0085052947738</v>
      </c>
      <c r="AL316" s="98">
        <f t="shared" si="196"/>
        <v>0.12996496235683355</v>
      </c>
      <c r="AM316" s="98" t="str">
        <f t="shared" si="181"/>
        <v>1+13.2008698469017i</v>
      </c>
      <c r="AN316" s="98">
        <f t="shared" si="197"/>
        <v>13.238691956339135</v>
      </c>
      <c r="AO316" s="98">
        <f t="shared" si="198"/>
        <v>1.4951881469791566</v>
      </c>
      <c r="AP316" s="168" t="str">
        <f t="shared" si="199"/>
        <v>-0.176310547395674+0.036764065208945i</v>
      </c>
      <c r="AQ316" s="98">
        <f t="shared" si="200"/>
        <v>-14.88959244025966</v>
      </c>
      <c r="AR316" s="169">
        <f t="shared" si="201"/>
        <v>168.22152657226877</v>
      </c>
      <c r="AS316" s="168" t="e">
        <f t="shared" si="202"/>
        <v>#DIV/0!</v>
      </c>
      <c r="AT316" s="190" t="e">
        <f t="shared" si="203"/>
        <v>#DIV/0!</v>
      </c>
      <c r="AU316" s="169" t="e">
        <f t="shared" si="204"/>
        <v>#DIV/0!</v>
      </c>
      <c r="AV316" s="225"/>
      <c r="AX316" t="e">
        <f t="shared" si="205"/>
        <v>#DIV/0!</v>
      </c>
      <c r="AY316" t="e">
        <f t="shared" si="206"/>
        <v>#DIV/0!</v>
      </c>
    </row>
    <row r="317" spans="14:51" x14ac:dyDescent="0.25">
      <c r="N317" s="170">
        <v>99</v>
      </c>
      <c r="O317" s="199">
        <f t="shared" si="207"/>
        <v>9772.3722095581161</v>
      </c>
      <c r="P317" s="189" t="str">
        <f t="shared" si="173"/>
        <v>290</v>
      </c>
      <c r="Q317" s="160" t="e">
        <f t="shared" si="174"/>
        <v>#DIV/0!</v>
      </c>
      <c r="R317" s="160" t="e">
        <f t="shared" si="182"/>
        <v>#DIV/0!</v>
      </c>
      <c r="S317" s="160" t="e">
        <f t="shared" si="183"/>
        <v>#DIV/0!</v>
      </c>
      <c r="T317" s="160" t="e">
        <f t="shared" si="175"/>
        <v>#DIV/0!</v>
      </c>
      <c r="U317" s="160" t="e">
        <f t="shared" si="184"/>
        <v>#DIV/0!</v>
      </c>
      <c r="V317" s="160" t="e">
        <f t="shared" si="185"/>
        <v>#DIV/0!</v>
      </c>
      <c r="W317" s="98" t="str">
        <f t="shared" si="176"/>
        <v>1-0.489294203070731i</v>
      </c>
      <c r="X317" s="160">
        <f t="shared" si="186"/>
        <v>1.1132873919876312</v>
      </c>
      <c r="Y317" s="160">
        <f t="shared" si="187"/>
        <v>-0.45504634933141352</v>
      </c>
      <c r="Z317" s="98" t="str">
        <f t="shared" si="177"/>
        <v>0.99802687482227+0.0581024768656625i</v>
      </c>
      <c r="AA317" s="160">
        <f t="shared" si="188"/>
        <v>0.99971673022183238</v>
      </c>
      <c r="AB317" s="160">
        <f t="shared" si="189"/>
        <v>5.8151709173391693E-2</v>
      </c>
      <c r="AC317" s="171" t="e">
        <f t="shared" si="190"/>
        <v>#DIV/0!</v>
      </c>
      <c r="AD317" s="190" t="e">
        <f t="shared" si="191"/>
        <v>#DIV/0!</v>
      </c>
      <c r="AE317" s="169" t="e">
        <f t="shared" si="192"/>
        <v>#DIV/0!</v>
      </c>
      <c r="AF317" s="98" t="str">
        <f t="shared" si="178"/>
        <v>-0.0000182926829268293</v>
      </c>
      <c r="AG317" s="98" t="str">
        <f t="shared" si="179"/>
        <v>0.00136434411824083i</v>
      </c>
      <c r="AH317" s="98">
        <f t="shared" si="193"/>
        <v>1.3643441182408301E-3</v>
      </c>
      <c r="AI317" s="98">
        <f t="shared" si="194"/>
        <v>1.5707963267948966</v>
      </c>
      <c r="AJ317" s="98" t="str">
        <f t="shared" si="180"/>
        <v>1+0.133746114914306i</v>
      </c>
      <c r="AK317" s="98">
        <f t="shared" si="195"/>
        <v>1.0089043677448675</v>
      </c>
      <c r="AL317" s="98">
        <f t="shared" si="196"/>
        <v>0.1329570817662222</v>
      </c>
      <c r="AM317" s="98" t="str">
        <f t="shared" si="181"/>
        <v>1+13.5083576063448i</v>
      </c>
      <c r="AN317" s="98">
        <f t="shared" si="197"/>
        <v>13.545321156063205</v>
      </c>
      <c r="AO317" s="98">
        <f t="shared" si="198"/>
        <v>1.4969028687478541</v>
      </c>
      <c r="AP317" s="168" t="str">
        <f t="shared" si="199"/>
        <v>-0.176171095410733+0.0369698748655133i</v>
      </c>
      <c r="AQ317" s="98">
        <f t="shared" si="200"/>
        <v>-14.894144239483783</v>
      </c>
      <c r="AR317" s="169">
        <f t="shared" si="201"/>
        <v>168.14833707869707</v>
      </c>
      <c r="AS317" s="168" t="e">
        <f t="shared" si="202"/>
        <v>#DIV/0!</v>
      </c>
      <c r="AT317" s="190" t="e">
        <f t="shared" si="203"/>
        <v>#DIV/0!</v>
      </c>
      <c r="AU317" s="169" t="e">
        <f t="shared" si="204"/>
        <v>#DIV/0!</v>
      </c>
      <c r="AV317" s="225"/>
      <c r="AX317" t="e">
        <f t="shared" si="205"/>
        <v>#DIV/0!</v>
      </c>
      <c r="AY317" t="e">
        <f t="shared" si="206"/>
        <v>#DIV/0!</v>
      </c>
    </row>
    <row r="318" spans="14:51" x14ac:dyDescent="0.25">
      <c r="N318" s="170">
        <v>100</v>
      </c>
      <c r="O318" s="199">
        <f t="shared" si="207"/>
        <v>10000</v>
      </c>
      <c r="P318" s="189" t="str">
        <f t="shared" si="173"/>
        <v>290</v>
      </c>
      <c r="Q318" s="160" t="e">
        <f t="shared" si="174"/>
        <v>#DIV/0!</v>
      </c>
      <c r="R318" s="160" t="e">
        <f t="shared" si="182"/>
        <v>#DIV/0!</v>
      </c>
      <c r="S318" s="160" t="e">
        <f t="shared" si="183"/>
        <v>#DIV/0!</v>
      </c>
      <c r="T318" s="160" t="e">
        <f t="shared" si="175"/>
        <v>#DIV/0!</v>
      </c>
      <c r="U318" s="160" t="e">
        <f t="shared" si="184"/>
        <v>#DIV/0!</v>
      </c>
      <c r="V318" s="160" t="e">
        <f t="shared" si="185"/>
        <v>#DIV/0!</v>
      </c>
      <c r="W318" s="98" t="str">
        <f t="shared" si="176"/>
        <v>1-0.500691329165875i</v>
      </c>
      <c r="X318" s="160">
        <f t="shared" si="186"/>
        <v>1.1183433314961424</v>
      </c>
      <c r="Y318" s="160">
        <f t="shared" si="187"/>
        <v>-0.46420051937991869</v>
      </c>
      <c r="Z318" s="98" t="str">
        <f t="shared" si="177"/>
        <v>0.997933884297521+0.059455857410787i</v>
      </c>
      <c r="AA318" s="160">
        <f t="shared" si="188"/>
        <v>0.99970347424103201</v>
      </c>
      <c r="AB318" s="160">
        <f t="shared" si="189"/>
        <v>5.9508609335924896E-2</v>
      </c>
      <c r="AC318" s="171" t="e">
        <f t="shared" si="190"/>
        <v>#DIV/0!</v>
      </c>
      <c r="AD318" s="190" t="e">
        <f t="shared" si="191"/>
        <v>#DIV/0!</v>
      </c>
      <c r="AE318" s="169" t="e">
        <f t="shared" si="192"/>
        <v>#DIV/0!</v>
      </c>
      <c r="AF318" s="98" t="str">
        <f t="shared" si="178"/>
        <v>-0.0000182926829268293</v>
      </c>
      <c r="AG318" s="98" t="str">
        <f t="shared" si="179"/>
        <v>0.0013961237752553i</v>
      </c>
      <c r="AH318" s="98">
        <f t="shared" si="193"/>
        <v>1.3961237752553E-3</v>
      </c>
      <c r="AI318" s="98">
        <f t="shared" si="194"/>
        <v>1.5707963267948966</v>
      </c>
      <c r="AJ318" s="98" t="str">
        <f t="shared" si="180"/>
        <v>1+0.136861462136585i</v>
      </c>
      <c r="AK318" s="98">
        <f t="shared" si="195"/>
        <v>1.009322079327587</v>
      </c>
      <c r="AL318" s="98">
        <f t="shared" si="196"/>
        <v>0.13601641905200493</v>
      </c>
      <c r="AM318" s="98" t="str">
        <f t="shared" si="181"/>
        <v>1+13.8230076757951i</v>
      </c>
      <c r="AN318" s="98">
        <f t="shared" si="197"/>
        <v>13.8591320509291</v>
      </c>
      <c r="AO318" s="98">
        <f t="shared" si="198"/>
        <v>1.4985789794380477</v>
      </c>
      <c r="AP318" s="168" t="str">
        <f t="shared" si="199"/>
        <v>-0.176025307497987+0.0371935603011301i</v>
      </c>
      <c r="AQ318" s="98">
        <f t="shared" si="200"/>
        <v>-14.898805144707447</v>
      </c>
      <c r="AR318" s="169">
        <f t="shared" si="201"/>
        <v>168.06908403265965</v>
      </c>
      <c r="AS318" s="168" t="e">
        <f t="shared" si="202"/>
        <v>#DIV/0!</v>
      </c>
      <c r="AT318" s="190" t="e">
        <f t="shared" si="203"/>
        <v>#DIV/0!</v>
      </c>
      <c r="AU318" s="169" t="e">
        <f t="shared" si="204"/>
        <v>#DIV/0!</v>
      </c>
      <c r="AV318" s="225"/>
      <c r="AX318" t="e">
        <f t="shared" si="205"/>
        <v>#DIV/0!</v>
      </c>
      <c r="AY318" t="e">
        <f t="shared" si="206"/>
        <v>#DIV/0!</v>
      </c>
    </row>
    <row r="319" spans="14:51" x14ac:dyDescent="0.25">
      <c r="N319" s="170">
        <v>1</v>
      </c>
      <c r="O319" s="199">
        <f>10^(4+(N319/100))</f>
        <v>10232.929922807549</v>
      </c>
      <c r="P319" s="189" t="str">
        <f t="shared" si="173"/>
        <v>290</v>
      </c>
      <c r="Q319" s="160" t="e">
        <f t="shared" si="174"/>
        <v>#DIV/0!</v>
      </c>
      <c r="R319" s="160" t="e">
        <f t="shared" si="182"/>
        <v>#DIV/0!</v>
      </c>
      <c r="S319" s="160" t="e">
        <f t="shared" si="183"/>
        <v>#DIV/0!</v>
      </c>
      <c r="T319" s="160" t="e">
        <f t="shared" si="175"/>
        <v>#DIV/0!</v>
      </c>
      <c r="U319" s="160" t="e">
        <f t="shared" si="184"/>
        <v>#DIV/0!</v>
      </c>
      <c r="V319" s="160" t="e">
        <f t="shared" si="185"/>
        <v>#DIV/0!</v>
      </c>
      <c r="W319" s="98" t="str">
        <f t="shared" si="176"/>
        <v>1-0.512353928431176i</v>
      </c>
      <c r="X319" s="160">
        <f t="shared" si="186"/>
        <v>1.123613166520782</v>
      </c>
      <c r="Y319" s="160">
        <f t="shared" si="187"/>
        <v>-0.47348183659984489</v>
      </c>
      <c r="Z319" s="98" t="str">
        <f t="shared" si="177"/>
        <v>0.997836511264358+0.060840762238502i</v>
      </c>
      <c r="AA319" s="160">
        <f t="shared" si="188"/>
        <v>0.99968960260772299</v>
      </c>
      <c r="AB319" s="160">
        <f t="shared" si="189"/>
        <v>6.0897285325051238E-2</v>
      </c>
      <c r="AC319" s="171" t="e">
        <f t="shared" si="190"/>
        <v>#DIV/0!</v>
      </c>
      <c r="AD319" s="190" t="e">
        <f t="shared" si="191"/>
        <v>#DIV/0!</v>
      </c>
      <c r="AE319" s="169" t="e">
        <f t="shared" si="192"/>
        <v>#DIV/0!</v>
      </c>
      <c r="AF319" s="98" t="str">
        <f t="shared" si="178"/>
        <v>-0.0000182926829268293</v>
      </c>
      <c r="AG319" s="98" t="str">
        <f t="shared" si="179"/>
        <v>0.0014286436755753i</v>
      </c>
      <c r="AH319" s="98">
        <f t="shared" si="193"/>
        <v>1.4286436755753E-3</v>
      </c>
      <c r="AI319" s="98">
        <f t="shared" si="194"/>
        <v>1.5707963267948966</v>
      </c>
      <c r="AJ319" s="98" t="str">
        <f t="shared" si="180"/>
        <v>1+0.140049375117665i</v>
      </c>
      <c r="AK319" s="98">
        <f t="shared" si="195"/>
        <v>1.0097592918467493</v>
      </c>
      <c r="AL319" s="98">
        <f t="shared" si="196"/>
        <v>0.13914436712240416</v>
      </c>
      <c r="AM319" s="98" t="str">
        <f t="shared" si="181"/>
        <v>1+14.1449868868842i</v>
      </c>
      <c r="AN319" s="98">
        <f t="shared" si="197"/>
        <v>14.180291041799034</v>
      </c>
      <c r="AO319" s="98">
        <f t="shared" si="198"/>
        <v>1.5002173300544863</v>
      </c>
      <c r="AP319" s="168" t="str">
        <f t="shared" si="199"/>
        <v>-0.175872907203555+0.037435121255662i</v>
      </c>
      <c r="AQ319" s="98">
        <f t="shared" si="200"/>
        <v>-14.903584599601986</v>
      </c>
      <c r="AR319" s="169">
        <f t="shared" si="201"/>
        <v>167.98373638537424</v>
      </c>
      <c r="AS319" s="168" t="e">
        <f t="shared" si="202"/>
        <v>#DIV/0!</v>
      </c>
      <c r="AT319" s="190" t="e">
        <f t="shared" si="203"/>
        <v>#DIV/0!</v>
      </c>
      <c r="AU319" s="169" t="e">
        <f t="shared" si="204"/>
        <v>#DIV/0!</v>
      </c>
      <c r="AV319" s="225"/>
      <c r="AX319" t="e">
        <f t="shared" si="205"/>
        <v>#DIV/0!</v>
      </c>
      <c r="AY319" t="e">
        <f t="shared" si="206"/>
        <v>#DIV/0!</v>
      </c>
    </row>
    <row r="320" spans="14:51" x14ac:dyDescent="0.25">
      <c r="N320" s="170">
        <v>2</v>
      </c>
      <c r="O320" s="199">
        <f t="shared" ref="O320:O383" si="208">10^(4+(N320/100))</f>
        <v>10471.285480509003</v>
      </c>
      <c r="P320" s="189" t="str">
        <f t="shared" si="173"/>
        <v>290</v>
      </c>
      <c r="Q320" s="160" t="e">
        <f t="shared" si="174"/>
        <v>#DIV/0!</v>
      </c>
      <c r="R320" s="160" t="e">
        <f t="shared" si="182"/>
        <v>#DIV/0!</v>
      </c>
      <c r="S320" s="160" t="e">
        <f t="shared" si="183"/>
        <v>#DIV/0!</v>
      </c>
      <c r="T320" s="160" t="e">
        <f t="shared" si="175"/>
        <v>#DIV/0!</v>
      </c>
      <c r="U320" s="160" t="e">
        <f t="shared" si="184"/>
        <v>#DIV/0!</v>
      </c>
      <c r="V320" s="160" t="e">
        <f t="shared" si="185"/>
        <v>#DIV/0!</v>
      </c>
      <c r="W320" s="98" t="str">
        <f t="shared" si="176"/>
        <v>1-0.524288184531138i</v>
      </c>
      <c r="X320" s="160">
        <f t="shared" si="186"/>
        <v>1.1291049997404832</v>
      </c>
      <c r="Y320" s="160">
        <f t="shared" si="187"/>
        <v>-0.48288882499707553</v>
      </c>
      <c r="Z320" s="98" t="str">
        <f t="shared" si="177"/>
        <v>0.997734549181522+0.0622579256436787i</v>
      </c>
      <c r="AA320" s="160">
        <f t="shared" si="188"/>
        <v>0.99967508718378539</v>
      </c>
      <c r="AB320" s="160">
        <f t="shared" si="189"/>
        <v>6.2318489404257597E-2</v>
      </c>
      <c r="AC320" s="171" t="e">
        <f t="shared" si="190"/>
        <v>#DIV/0!</v>
      </c>
      <c r="AD320" s="190" t="e">
        <f t="shared" si="191"/>
        <v>#DIV/0!</v>
      </c>
      <c r="AE320" s="169" t="e">
        <f t="shared" si="192"/>
        <v>#DIV/0!</v>
      </c>
      <c r="AF320" s="98" t="str">
        <f t="shared" si="178"/>
        <v>-0.0000182926829268293</v>
      </c>
      <c r="AG320" s="98" t="str">
        <f t="shared" si="179"/>
        <v>0.00146192106168243i</v>
      </c>
      <c r="AH320" s="98">
        <f t="shared" si="193"/>
        <v>1.4619210616824299E-3</v>
      </c>
      <c r="AI320" s="98">
        <f t="shared" si="194"/>
        <v>1.5707963267948966</v>
      </c>
      <c r="AJ320" s="98" t="str">
        <f t="shared" si="180"/>
        <v>1+0.143311544131206i</v>
      </c>
      <c r="AK320" s="98">
        <f t="shared" si="195"/>
        <v>1.0102169067488778</v>
      </c>
      <c r="AL320" s="98">
        <f t="shared" si="196"/>
        <v>0.14234233949599068</v>
      </c>
      <c r="AM320" s="98" t="str">
        <f t="shared" si="181"/>
        <v>1+14.4744659572517i</v>
      </c>
      <c r="AN320" s="98">
        <f t="shared" si="197"/>
        <v>14.508968424655091</v>
      </c>
      <c r="AO320" s="98">
        <f t="shared" si="198"/>
        <v>1.501818754071423</v>
      </c>
      <c r="AP320" s="168" t="str">
        <f t="shared" si="199"/>
        <v>-0.175713607088847+0.0376945589887032i</v>
      </c>
      <c r="AQ320" s="98">
        <f t="shared" si="200"/>
        <v>-14.90849226421364</v>
      </c>
      <c r="AR320" s="169">
        <f t="shared" si="201"/>
        <v>167.89226090274963</v>
      </c>
      <c r="AS320" s="168" t="e">
        <f t="shared" si="202"/>
        <v>#DIV/0!</v>
      </c>
      <c r="AT320" s="190" t="e">
        <f t="shared" si="203"/>
        <v>#DIV/0!</v>
      </c>
      <c r="AU320" s="169" t="e">
        <f t="shared" si="204"/>
        <v>#DIV/0!</v>
      </c>
      <c r="AV320" s="225"/>
      <c r="AX320" t="e">
        <f t="shared" si="205"/>
        <v>#DIV/0!</v>
      </c>
      <c r="AY320" t="e">
        <f t="shared" si="206"/>
        <v>#DIV/0!</v>
      </c>
    </row>
    <row r="321" spans="14:51" x14ac:dyDescent="0.25">
      <c r="N321" s="170">
        <v>3</v>
      </c>
      <c r="O321" s="199">
        <f t="shared" si="208"/>
        <v>10715.193052376071</v>
      </c>
      <c r="P321" s="189" t="str">
        <f t="shared" si="173"/>
        <v>290</v>
      </c>
      <c r="Q321" s="160" t="e">
        <f t="shared" si="174"/>
        <v>#DIV/0!</v>
      </c>
      <c r="R321" s="160" t="e">
        <f t="shared" si="182"/>
        <v>#DIV/0!</v>
      </c>
      <c r="S321" s="160" t="e">
        <f t="shared" si="183"/>
        <v>#DIV/0!</v>
      </c>
      <c r="T321" s="160" t="e">
        <f t="shared" si="175"/>
        <v>#DIV/0!</v>
      </c>
      <c r="U321" s="160" t="e">
        <f t="shared" si="184"/>
        <v>#DIV/0!</v>
      </c>
      <c r="V321" s="160" t="e">
        <f t="shared" si="185"/>
        <v>#DIV/0!</v>
      </c>
      <c r="W321" s="98" t="str">
        <f t="shared" si="176"/>
        <v>1-0.536500425166312i</v>
      </c>
      <c r="X321" s="160">
        <f t="shared" si="186"/>
        <v>1.1348271701909651</v>
      </c>
      <c r="Y321" s="160">
        <f t="shared" si="187"/>
        <v>-0.49241981190038464</v>
      </c>
      <c r="Z321" s="98" t="str">
        <f t="shared" si="177"/>
        <v>0.997627781773767+0.0637080990251126i</v>
      </c>
      <c r="AA321" s="160">
        <f t="shared" si="188"/>
        <v>0.99965989858963555</v>
      </c>
      <c r="AB321" s="160">
        <f t="shared" si="189"/>
        <v>6.3772992223402145E-2</v>
      </c>
      <c r="AC321" s="171" t="e">
        <f t="shared" si="190"/>
        <v>#DIV/0!</v>
      </c>
      <c r="AD321" s="190" t="e">
        <f t="shared" si="191"/>
        <v>#DIV/0!</v>
      </c>
      <c r="AE321" s="169" t="e">
        <f t="shared" si="192"/>
        <v>#DIV/0!</v>
      </c>
      <c r="AF321" s="98" t="str">
        <f t="shared" si="178"/>
        <v>-0.0000182926829268293</v>
      </c>
      <c r="AG321" s="98" t="str">
        <f t="shared" si="179"/>
        <v>0.00149597357768727i</v>
      </c>
      <c r="AH321" s="98">
        <f t="shared" si="193"/>
        <v>1.49597357768727E-3</v>
      </c>
      <c r="AI321" s="98">
        <f t="shared" si="194"/>
        <v>1.5707963267948966</v>
      </c>
      <c r="AJ321" s="98" t="str">
        <f t="shared" si="180"/>
        <v>1+0.146649698822397i</v>
      </c>
      <c r="AK321" s="98">
        <f t="shared" si="195"/>
        <v>1.0106958663043497</v>
      </c>
      <c r="AL321" s="98">
        <f t="shared" si="196"/>
        <v>0.14561176999711384</v>
      </c>
      <c r="AM321" s="98" t="str">
        <f t="shared" si="181"/>
        <v>1+14.8116195810621i</v>
      </c>
      <c r="AN321" s="98">
        <f t="shared" si="197"/>
        <v>14.845338480954291</v>
      </c>
      <c r="AO321" s="98">
        <f t="shared" si="198"/>
        <v>1.5033840677110464</v>
      </c>
      <c r="AP321" s="168" t="str">
        <f t="shared" si="199"/>
        <v>-0.175547108396835+0.0379718757743496i</v>
      </c>
      <c r="AQ321" s="98">
        <f t="shared" si="200"/>
        <v>-14.913538031636108</v>
      </c>
      <c r="AR321" s="169">
        <f t="shared" si="201"/>
        <v>167.79462219878863</v>
      </c>
      <c r="AS321" s="168" t="e">
        <f t="shared" si="202"/>
        <v>#DIV/0!</v>
      </c>
      <c r="AT321" s="190" t="e">
        <f t="shared" si="203"/>
        <v>#DIV/0!</v>
      </c>
      <c r="AU321" s="169" t="e">
        <f t="shared" si="204"/>
        <v>#DIV/0!</v>
      </c>
      <c r="AV321" s="225"/>
      <c r="AX321" t="e">
        <f t="shared" si="205"/>
        <v>#DIV/0!</v>
      </c>
      <c r="AY321" t="e">
        <f t="shared" si="206"/>
        <v>#DIV/0!</v>
      </c>
    </row>
    <row r="322" spans="14:51" x14ac:dyDescent="0.25">
      <c r="N322" s="170">
        <v>4</v>
      </c>
      <c r="O322" s="199">
        <f t="shared" si="208"/>
        <v>10964.781961431856</v>
      </c>
      <c r="P322" s="189" t="str">
        <f t="shared" si="173"/>
        <v>290</v>
      </c>
      <c r="Q322" s="160" t="e">
        <f t="shared" si="174"/>
        <v>#DIV/0!</v>
      </c>
      <c r="R322" s="160" t="e">
        <f t="shared" si="182"/>
        <v>#DIV/0!</v>
      </c>
      <c r="S322" s="160" t="e">
        <f t="shared" si="183"/>
        <v>#DIV/0!</v>
      </c>
      <c r="T322" s="160" t="e">
        <f t="shared" si="175"/>
        <v>#DIV/0!</v>
      </c>
      <c r="U322" s="160" t="e">
        <f t="shared" si="184"/>
        <v>#DIV/0!</v>
      </c>
      <c r="V322" s="160" t="e">
        <f t="shared" si="185"/>
        <v>#DIV/0!</v>
      </c>
      <c r="W322" s="98" t="str">
        <f t="shared" si="176"/>
        <v>1-0.548997125428332i</v>
      </c>
      <c r="X322" s="160">
        <f t="shared" si="186"/>
        <v>1.1407882554306787</v>
      </c>
      <c r="Y322" s="160">
        <f t="shared" si="187"/>
        <v>-0.50207292359643185</v>
      </c>
      <c r="Z322" s="98" t="str">
        <f t="shared" si="177"/>
        <v>0.997515982573104+0.0651920512839261i</v>
      </c>
      <c r="AA322" s="160">
        <f t="shared" si="188"/>
        <v>0.99964400615388638</v>
      </c>
      <c r="AB322" s="160">
        <f t="shared" si="189"/>
        <v>6.5261583308510368E-2</v>
      </c>
      <c r="AC322" s="171" t="e">
        <f t="shared" si="190"/>
        <v>#DIV/0!</v>
      </c>
      <c r="AD322" s="190" t="e">
        <f t="shared" si="191"/>
        <v>#DIV/0!</v>
      </c>
      <c r="AE322" s="169" t="e">
        <f t="shared" si="192"/>
        <v>#DIV/0!</v>
      </c>
      <c r="AF322" s="98" t="str">
        <f t="shared" si="178"/>
        <v>-0.0000182926829268293</v>
      </c>
      <c r="AG322" s="98" t="str">
        <f t="shared" si="179"/>
        <v>0.00153081927868455i</v>
      </c>
      <c r="AH322" s="98">
        <f t="shared" si="193"/>
        <v>1.5308192786845499E-3</v>
      </c>
      <c r="AI322" s="98">
        <f t="shared" si="194"/>
        <v>1.5707963267948966</v>
      </c>
      <c r="AJ322" s="98" t="str">
        <f t="shared" si="180"/>
        <v>1+0.150065609125042i</v>
      </c>
      <c r="AK322" s="98">
        <f t="shared" si="195"/>
        <v>1.0111971553767691</v>
      </c>
      <c r="AL322" s="98">
        <f t="shared" si="196"/>
        <v>0.14895411239529935</v>
      </c>
      <c r="AM322" s="98" t="str">
        <f t="shared" si="181"/>
        <v>1+15.1566265216292i</v>
      </c>
      <c r="AN322" s="98">
        <f t="shared" si="197"/>
        <v>15.189579570091915</v>
      </c>
      <c r="AO322" s="98">
        <f t="shared" si="198"/>
        <v>1.5049140702233781</v>
      </c>
      <c r="AP322" s="168" t="str">
        <f t="shared" si="199"/>
        <v>-0.175373100718465+0.0382670743675499i</v>
      </c>
      <c r="AQ322" s="98">
        <f t="shared" si="200"/>
        <v>-14.918732044880764</v>
      </c>
      <c r="AR322" s="169">
        <f t="shared" si="201"/>
        <v>167.69078277228601</v>
      </c>
      <c r="AS322" s="168" t="e">
        <f t="shared" si="202"/>
        <v>#DIV/0!</v>
      </c>
      <c r="AT322" s="190" t="e">
        <f t="shared" si="203"/>
        <v>#DIV/0!</v>
      </c>
      <c r="AU322" s="169" t="e">
        <f t="shared" si="204"/>
        <v>#DIV/0!</v>
      </c>
      <c r="AV322" s="225"/>
      <c r="AX322" t="e">
        <f t="shared" si="205"/>
        <v>#DIV/0!</v>
      </c>
      <c r="AY322" t="e">
        <f t="shared" si="206"/>
        <v>#DIV/0!</v>
      </c>
    </row>
    <row r="323" spans="14:51" x14ac:dyDescent="0.25">
      <c r="N323" s="170">
        <v>5</v>
      </c>
      <c r="O323" s="199">
        <f t="shared" si="208"/>
        <v>11220.184543019639</v>
      </c>
      <c r="P323" s="189" t="str">
        <f t="shared" si="173"/>
        <v>290</v>
      </c>
      <c r="Q323" s="160" t="e">
        <f t="shared" si="174"/>
        <v>#DIV/0!</v>
      </c>
      <c r="R323" s="160" t="e">
        <f t="shared" si="182"/>
        <v>#DIV/0!</v>
      </c>
      <c r="S323" s="160" t="e">
        <f t="shared" si="183"/>
        <v>#DIV/0!</v>
      </c>
      <c r="T323" s="160" t="e">
        <f t="shared" si="175"/>
        <v>#DIV/0!</v>
      </c>
      <c r="U323" s="160" t="e">
        <f t="shared" si="184"/>
        <v>#DIV/0!</v>
      </c>
      <c r="V323" s="160" t="e">
        <f t="shared" si="185"/>
        <v>#DIV/0!</v>
      </c>
      <c r="W323" s="98" t="str">
        <f t="shared" si="176"/>
        <v>1-0.561784911233091i</v>
      </c>
      <c r="X323" s="160">
        <f t="shared" si="186"/>
        <v>1.1469970734440311</v>
      </c>
      <c r="Y323" s="160">
        <f t="shared" si="187"/>
        <v>-0.51184608149904698</v>
      </c>
      <c r="Z323" s="98" t="str">
        <f t="shared" si="177"/>
        <v>0.997398914438442+0.0667105692312491i</v>
      </c>
      <c r="AA323" s="160">
        <f t="shared" si="188"/>
        <v>0.99962737786144085</v>
      </c>
      <c r="AB323" s="160">
        <f t="shared" si="189"/>
        <v>6.6785071567343909E-2</v>
      </c>
      <c r="AC323" s="171" t="e">
        <f t="shared" si="190"/>
        <v>#DIV/0!</v>
      </c>
      <c r="AD323" s="190" t="e">
        <f t="shared" si="191"/>
        <v>#DIV/0!</v>
      </c>
      <c r="AE323" s="169" t="e">
        <f t="shared" si="192"/>
        <v>#DIV/0!</v>
      </c>
      <c r="AF323" s="98" t="str">
        <f t="shared" si="178"/>
        <v>-0.0000182926829268293</v>
      </c>
      <c r="AG323" s="98" t="str">
        <f t="shared" si="179"/>
        <v>0.00156647664032618i</v>
      </c>
      <c r="AH323" s="98">
        <f t="shared" si="193"/>
        <v>1.5664766403261799E-3</v>
      </c>
      <c r="AI323" s="98">
        <f t="shared" si="194"/>
        <v>1.5707963267948966</v>
      </c>
      <c r="AJ323" s="98" t="str">
        <f t="shared" si="180"/>
        <v>1+0.153561086199998i</v>
      </c>
      <c r="AK323" s="98">
        <f t="shared" si="195"/>
        <v>1.0117218032616095</v>
      </c>
      <c r="AL323" s="98">
        <f t="shared" si="196"/>
        <v>0.15237083998460729</v>
      </c>
      <c r="AM323" s="98" t="str">
        <f t="shared" si="181"/>
        <v>1+15.5096697061998i</v>
      </c>
      <c r="AN323" s="98">
        <f t="shared" si="197"/>
        <v>15.541874224024971</v>
      </c>
      <c r="AO323" s="98">
        <f t="shared" si="198"/>
        <v>1.506409544167121</v>
      </c>
      <c r="AP323" s="168" t="str">
        <f t="shared" si="199"/>
        <v>-0.175191261660537+0.0385801574404812i</v>
      </c>
      <c r="AQ323" s="98">
        <f t="shared" si="200"/>
        <v>-14.924084713948034</v>
      </c>
      <c r="AR323" s="169">
        <f t="shared" si="201"/>
        <v>167.58070304702099</v>
      </c>
      <c r="AS323" s="168" t="e">
        <f t="shared" si="202"/>
        <v>#DIV/0!</v>
      </c>
      <c r="AT323" s="190" t="e">
        <f t="shared" si="203"/>
        <v>#DIV/0!</v>
      </c>
      <c r="AU323" s="169" t="e">
        <f t="shared" si="204"/>
        <v>#DIV/0!</v>
      </c>
      <c r="AV323" s="225"/>
      <c r="AX323" t="e">
        <f t="shared" si="205"/>
        <v>#DIV/0!</v>
      </c>
      <c r="AY323" t="e">
        <f t="shared" si="206"/>
        <v>#DIV/0!</v>
      </c>
    </row>
    <row r="324" spans="14:51" x14ac:dyDescent="0.25">
      <c r="N324" s="170">
        <v>6</v>
      </c>
      <c r="O324" s="199">
        <f t="shared" si="208"/>
        <v>11481.536214968832</v>
      </c>
      <c r="P324" s="189" t="str">
        <f t="shared" si="173"/>
        <v>290</v>
      </c>
      <c r="Q324" s="160" t="e">
        <f t="shared" si="174"/>
        <v>#DIV/0!</v>
      </c>
      <c r="R324" s="160" t="e">
        <f t="shared" si="182"/>
        <v>#DIV/0!</v>
      </c>
      <c r="S324" s="160" t="e">
        <f t="shared" si="183"/>
        <v>#DIV/0!</v>
      </c>
      <c r="T324" s="160" t="e">
        <f t="shared" si="175"/>
        <v>#DIV/0!</v>
      </c>
      <c r="U324" s="160" t="e">
        <f t="shared" si="184"/>
        <v>#DIV/0!</v>
      </c>
      <c r="V324" s="160" t="e">
        <f t="shared" si="185"/>
        <v>#DIV/0!</v>
      </c>
      <c r="W324" s="98" t="str">
        <f t="shared" si="176"/>
        <v>1-0.574870562833887i</v>
      </c>
      <c r="X324" s="160">
        <f t="shared" si="186"/>
        <v>1.1534626842741598</v>
      </c>
      <c r="Y324" s="160">
        <f t="shared" si="187"/>
        <v>-0.52173699890809233</v>
      </c>
      <c r="Z324" s="98" t="str">
        <f t="shared" si="177"/>
        <v>0.997276329052569+0.0682644580053973i</v>
      </c>
      <c r="AA324" s="160">
        <f t="shared" si="188"/>
        <v>0.99960998029998616</v>
      </c>
      <c r="AB324" s="160">
        <f t="shared" si="189"/>
        <v>6.8344285811424252E-2</v>
      </c>
      <c r="AC324" s="171" t="e">
        <f t="shared" si="190"/>
        <v>#DIV/0!</v>
      </c>
      <c r="AD324" s="190" t="e">
        <f t="shared" si="191"/>
        <v>#DIV/0!</v>
      </c>
      <c r="AE324" s="169" t="e">
        <f t="shared" si="192"/>
        <v>#DIV/0!</v>
      </c>
      <c r="AF324" s="98" t="str">
        <f t="shared" si="178"/>
        <v>-0.0000182926829268293</v>
      </c>
      <c r="AG324" s="98" t="str">
        <f t="shared" si="179"/>
        <v>0.00160296456861728i</v>
      </c>
      <c r="AH324" s="98">
        <f t="shared" si="193"/>
        <v>1.6029645686172799E-3</v>
      </c>
      <c r="AI324" s="98">
        <f t="shared" si="194"/>
        <v>1.5707963267948966</v>
      </c>
      <c r="AJ324" s="98" t="str">
        <f t="shared" si="180"/>
        <v>1+0.157137983395479i</v>
      </c>
      <c r="AK324" s="98">
        <f t="shared" si="195"/>
        <v>1.0122708855961422</v>
      </c>
      <c r="AL324" s="98">
        <f t="shared" si="196"/>
        <v>0.15586344509878014</v>
      </c>
      <c r="AM324" s="98" t="str">
        <f t="shared" si="181"/>
        <v>1+15.8709363229433i</v>
      </c>
      <c r="AN324" s="98">
        <f t="shared" si="197"/>
        <v>15.902409244102637</v>
      </c>
      <c r="AO324" s="98">
        <f t="shared" si="198"/>
        <v>1.5078712556909522</v>
      </c>
      <c r="AP324" s="168" t="str">
        <f t="shared" si="199"/>
        <v>-0.175001256516423+0.038911126987366i</v>
      </c>
      <c r="AQ324" s="98">
        <f t="shared" si="200"/>
        <v>-14.9296067331068</v>
      </c>
      <c r="AR324" s="169">
        <f t="shared" si="201"/>
        <v>167.46434141565422</v>
      </c>
      <c r="AS324" s="168" t="e">
        <f t="shared" si="202"/>
        <v>#DIV/0!</v>
      </c>
      <c r="AT324" s="190" t="e">
        <f t="shared" si="203"/>
        <v>#DIV/0!</v>
      </c>
      <c r="AU324" s="169" t="e">
        <f t="shared" si="204"/>
        <v>#DIV/0!</v>
      </c>
      <c r="AV324" s="225"/>
      <c r="AX324" t="e">
        <f t="shared" si="205"/>
        <v>#DIV/0!</v>
      </c>
      <c r="AY324" t="e">
        <f t="shared" si="206"/>
        <v>#DIV/0!</v>
      </c>
    </row>
    <row r="325" spans="14:51" x14ac:dyDescent="0.25">
      <c r="N325" s="170">
        <v>7</v>
      </c>
      <c r="O325" s="199">
        <f t="shared" si="208"/>
        <v>11748.975549395318</v>
      </c>
      <c r="P325" s="189" t="str">
        <f t="shared" si="173"/>
        <v>290</v>
      </c>
      <c r="Q325" s="160" t="e">
        <f t="shared" si="174"/>
        <v>#DIV/0!</v>
      </c>
      <c r="R325" s="160" t="e">
        <f t="shared" si="182"/>
        <v>#DIV/0!</v>
      </c>
      <c r="S325" s="160" t="e">
        <f t="shared" si="183"/>
        <v>#DIV/0!</v>
      </c>
      <c r="T325" s="160" t="e">
        <f t="shared" si="175"/>
        <v>#DIV/0!</v>
      </c>
      <c r="U325" s="160" t="e">
        <f t="shared" si="184"/>
        <v>#DIV/0!</v>
      </c>
      <c r="V325" s="160" t="e">
        <f t="shared" si="185"/>
        <v>#DIV/0!</v>
      </c>
      <c r="W325" s="98" t="str">
        <f t="shared" si="176"/>
        <v>1-0.588261018416411i</v>
      </c>
      <c r="X325" s="160">
        <f t="shared" si="186"/>
        <v>1.1601943913794417</v>
      </c>
      <c r="Y325" s="160">
        <f t="shared" si="187"/>
        <v>-0.53174317841244645</v>
      </c>
      <c r="Z325" s="98" t="str">
        <f t="shared" si="177"/>
        <v>0.997147966395449+0.069854541498767i</v>
      </c>
      <c r="AA325" s="160">
        <f t="shared" si="188"/>
        <v>0.99959177860493753</v>
      </c>
      <c r="AB325" s="160">
        <f t="shared" si="189"/>
        <v>6.9940075295218687E-2</v>
      </c>
      <c r="AC325" s="171" t="e">
        <f t="shared" si="190"/>
        <v>#DIV/0!</v>
      </c>
      <c r="AD325" s="190" t="e">
        <f t="shared" si="191"/>
        <v>#DIV/0!</v>
      </c>
      <c r="AE325" s="169" t="e">
        <f t="shared" si="192"/>
        <v>#DIV/0!</v>
      </c>
      <c r="AF325" s="98" t="str">
        <f t="shared" si="178"/>
        <v>-0.0000182926829268293</v>
      </c>
      <c r="AG325" s="98" t="str">
        <f t="shared" si="179"/>
        <v>0.00164030240994041i</v>
      </c>
      <c r="AH325" s="98">
        <f t="shared" si="193"/>
        <v>1.6403024099404099E-3</v>
      </c>
      <c r="AI325" s="98">
        <f t="shared" si="194"/>
        <v>1.5707963267948966</v>
      </c>
      <c r="AJ325" s="98" t="str">
        <f t="shared" si="180"/>
        <v>1+0.160798197229723i</v>
      </c>
      <c r="AK325" s="98">
        <f t="shared" si="195"/>
        <v>1.0128455263426546</v>
      </c>
      <c r="AL325" s="98">
        <f t="shared" si="196"/>
        <v>0.15943343855778283</v>
      </c>
      <c r="AM325" s="98" t="str">
        <f t="shared" si="181"/>
        <v>1+16.240617920202i</v>
      </c>
      <c r="AN325" s="98">
        <f t="shared" si="197"/>
        <v>16.27137580015858</v>
      </c>
      <c r="AO325" s="98">
        <f t="shared" si="198"/>
        <v>1.5092999548148343</v>
      </c>
      <c r="AP325" s="168" t="str">
        <f t="shared" si="199"/>
        <v>-0.174802737941256+0.0392599836961395i</v>
      </c>
      <c r="AQ325" s="98">
        <f t="shared" si="200"/>
        <v>-14.935309098381977</v>
      </c>
      <c r="AR325" s="169">
        <f t="shared" si="201"/>
        <v>167.34165428755654</v>
      </c>
      <c r="AS325" s="168" t="e">
        <f t="shared" si="202"/>
        <v>#DIV/0!</v>
      </c>
      <c r="AT325" s="190" t="e">
        <f t="shared" si="203"/>
        <v>#DIV/0!</v>
      </c>
      <c r="AU325" s="169" t="e">
        <f t="shared" si="204"/>
        <v>#DIV/0!</v>
      </c>
      <c r="AV325" s="225"/>
      <c r="AX325" t="e">
        <f t="shared" si="205"/>
        <v>#DIV/0!</v>
      </c>
      <c r="AY325" t="e">
        <f t="shared" si="206"/>
        <v>#DIV/0!</v>
      </c>
    </row>
    <row r="326" spans="14:51" x14ac:dyDescent="0.25">
      <c r="N326" s="170">
        <v>8</v>
      </c>
      <c r="O326" s="199">
        <f t="shared" si="208"/>
        <v>12022.644346174151</v>
      </c>
      <c r="P326" s="189" t="str">
        <f t="shared" si="173"/>
        <v>290</v>
      </c>
      <c r="Q326" s="160" t="e">
        <f t="shared" si="174"/>
        <v>#DIV/0!</v>
      </c>
      <c r="R326" s="160" t="e">
        <f t="shared" si="182"/>
        <v>#DIV/0!</v>
      </c>
      <c r="S326" s="160" t="e">
        <f t="shared" si="183"/>
        <v>#DIV/0!</v>
      </c>
      <c r="T326" s="160" t="e">
        <f t="shared" si="175"/>
        <v>#DIV/0!</v>
      </c>
      <c r="U326" s="160" t="e">
        <f t="shared" si="184"/>
        <v>#DIV/0!</v>
      </c>
      <c r="V326" s="160" t="e">
        <f t="shared" si="185"/>
        <v>#DIV/0!</v>
      </c>
      <c r="W326" s="98" t="str">
        <f t="shared" si="176"/>
        <v>1-0.601963377777452i</v>
      </c>
      <c r="X326" s="160">
        <f t="shared" si="186"/>
        <v>1.1672017427099908</v>
      </c>
      <c r="Y326" s="160">
        <f t="shared" si="187"/>
        <v>-0.54186190999022066</v>
      </c>
      <c r="Z326" s="98" t="str">
        <f t="shared" si="177"/>
        <v>0.997013554192674+0.0714816627946734i</v>
      </c>
      <c r="AA326" s="160">
        <f t="shared" si="188"/>
        <v>0.99957273640280897</v>
      </c>
      <c r="AB326" s="160">
        <f t="shared" si="189"/>
        <v>7.15733102732449E-2</v>
      </c>
      <c r="AC326" s="171" t="e">
        <f t="shared" si="190"/>
        <v>#DIV/0!</v>
      </c>
      <c r="AD326" s="190" t="e">
        <f t="shared" si="191"/>
        <v>#DIV/0!</v>
      </c>
      <c r="AE326" s="169" t="e">
        <f t="shared" si="192"/>
        <v>#DIV/0!</v>
      </c>
      <c r="AF326" s="98" t="str">
        <f t="shared" si="178"/>
        <v>-0.0000182926829268293</v>
      </c>
      <c r="AG326" s="98" t="str">
        <f t="shared" si="179"/>
        <v>0.00167850996131325i</v>
      </c>
      <c r="AH326" s="98">
        <f t="shared" si="193"/>
        <v>1.67850996131325E-3</v>
      </c>
      <c r="AI326" s="98">
        <f t="shared" si="194"/>
        <v>1.5707963267948966</v>
      </c>
      <c r="AJ326" s="98" t="str">
        <f t="shared" si="180"/>
        <v>1+0.164543668396554i</v>
      </c>
      <c r="AK326" s="98">
        <f t="shared" si="195"/>
        <v>1.0134468998469506</v>
      </c>
      <c r="AL326" s="98">
        <f t="shared" si="196"/>
        <v>0.16308234904115979</v>
      </c>
      <c r="AM326" s="98" t="str">
        <f t="shared" si="181"/>
        <v>1+16.6189105080519i</v>
      </c>
      <c r="AN326" s="98">
        <f t="shared" si="197"/>
        <v>16.648969531915114</v>
      </c>
      <c r="AO326" s="98">
        <f t="shared" si="198"/>
        <v>1.510696375710918</v>
      </c>
      <c r="AP326" s="168" t="str">
        <f t="shared" si="199"/>
        <v>-0.174595345633324+0.0396267262853598i</v>
      </c>
      <c r="AQ326" s="98">
        <f t="shared" si="200"/>
        <v>-14.941203125251565</v>
      </c>
      <c r="AR326" s="169">
        <f t="shared" si="201"/>
        <v>167.21259614080751</v>
      </c>
      <c r="AS326" s="168" t="e">
        <f t="shared" si="202"/>
        <v>#DIV/0!</v>
      </c>
      <c r="AT326" s="190" t="e">
        <f t="shared" si="203"/>
        <v>#DIV/0!</v>
      </c>
      <c r="AU326" s="169" t="e">
        <f t="shared" si="204"/>
        <v>#DIV/0!</v>
      </c>
      <c r="AV326" s="225"/>
      <c r="AX326" t="e">
        <f t="shared" si="205"/>
        <v>#DIV/0!</v>
      </c>
      <c r="AY326" t="e">
        <f t="shared" si="206"/>
        <v>#DIV/0!</v>
      </c>
    </row>
    <row r="327" spans="14:51" x14ac:dyDescent="0.25">
      <c r="N327" s="170">
        <v>9</v>
      </c>
      <c r="O327" s="199">
        <f t="shared" si="208"/>
        <v>12302.687708123816</v>
      </c>
      <c r="P327" s="189" t="str">
        <f t="shared" si="173"/>
        <v>290</v>
      </c>
      <c r="Q327" s="160" t="e">
        <f t="shared" si="174"/>
        <v>#DIV/0!</v>
      </c>
      <c r="R327" s="160" t="e">
        <f t="shared" si="182"/>
        <v>#DIV/0!</v>
      </c>
      <c r="S327" s="160" t="e">
        <f t="shared" si="183"/>
        <v>#DIV/0!</v>
      </c>
      <c r="T327" s="160" t="e">
        <f t="shared" si="175"/>
        <v>#DIV/0!</v>
      </c>
      <c r="U327" s="160" t="e">
        <f t="shared" si="184"/>
        <v>#DIV/0!</v>
      </c>
      <c r="V327" s="160" t="e">
        <f t="shared" si="185"/>
        <v>#DIV/0!</v>
      </c>
      <c r="W327" s="98" t="str">
        <f t="shared" si="176"/>
        <v>1-0.615984906089319i</v>
      </c>
      <c r="X327" s="160">
        <f t="shared" si="186"/>
        <v>1.1744945315027513</v>
      </c>
      <c r="Y327" s="160">
        <f t="shared" si="187"/>
        <v>-0.55209026985729392</v>
      </c>
      <c r="Z327" s="98" t="str">
        <f t="shared" si="177"/>
        <v>0.996872807337942+0.0731466846143651i</v>
      </c>
      <c r="AA327" s="160">
        <f t="shared" si="188"/>
        <v>0.99955281575307608</v>
      </c>
      <c r="AB327" s="160">
        <f t="shared" si="189"/>
        <v>7.3244882575887627E-2</v>
      </c>
      <c r="AC327" s="171" t="e">
        <f t="shared" si="190"/>
        <v>#DIV/0!</v>
      </c>
      <c r="AD327" s="190" t="e">
        <f t="shared" si="191"/>
        <v>#DIV/0!</v>
      </c>
      <c r="AE327" s="169" t="e">
        <f t="shared" si="192"/>
        <v>#DIV/0!</v>
      </c>
      <c r="AF327" s="98" t="str">
        <f t="shared" si="178"/>
        <v>-0.0000182926829268293</v>
      </c>
      <c r="AG327" s="98" t="str">
        <f t="shared" si="179"/>
        <v>0.00171760748088528i</v>
      </c>
      <c r="AH327" s="98">
        <f t="shared" si="193"/>
        <v>1.7176074808852801E-3</v>
      </c>
      <c r="AI327" s="98">
        <f t="shared" si="194"/>
        <v>1.5707963267948966</v>
      </c>
      <c r="AJ327" s="98" t="str">
        <f t="shared" si="180"/>
        <v>1+0.168376382794362i</v>
      </c>
      <c r="AK327" s="98">
        <f t="shared" si="195"/>
        <v>1.0140762329740864</v>
      </c>
      <c r="AL327" s="98">
        <f t="shared" si="196"/>
        <v>0.1668117223834126</v>
      </c>
      <c r="AM327" s="98" t="str">
        <f t="shared" si="181"/>
        <v>1+17.0060146622305i</v>
      </c>
      <c r="AN327" s="98">
        <f t="shared" si="197"/>
        <v>17.035390652755769</v>
      </c>
      <c r="AO327" s="98">
        <f t="shared" si="198"/>
        <v>1.5120612369836757</v>
      </c>
      <c r="AP327" s="168" t="str">
        <f t="shared" si="199"/>
        <v>-0.174378706023642+0.040011350804765i</v>
      </c>
      <c r="AQ327" s="98">
        <f t="shared" si="200"/>
        <v>-14.947300466549681</v>
      </c>
      <c r="AR327" s="169">
        <f t="shared" si="201"/>
        <v>167.07711957861773</v>
      </c>
      <c r="AS327" s="168" t="e">
        <f t="shared" si="202"/>
        <v>#DIV/0!</v>
      </c>
      <c r="AT327" s="190" t="e">
        <f t="shared" si="203"/>
        <v>#DIV/0!</v>
      </c>
      <c r="AU327" s="169" t="e">
        <f t="shared" si="204"/>
        <v>#DIV/0!</v>
      </c>
      <c r="AV327" s="225"/>
      <c r="AX327" t="e">
        <f t="shared" si="205"/>
        <v>#DIV/0!</v>
      </c>
      <c r="AY327" t="e">
        <f t="shared" si="206"/>
        <v>#DIV/0!</v>
      </c>
    </row>
    <row r="328" spans="14:51" x14ac:dyDescent="0.25">
      <c r="N328" s="170">
        <v>10</v>
      </c>
      <c r="O328" s="199">
        <f t="shared" si="208"/>
        <v>12589.254117941671</v>
      </c>
      <c r="P328" s="189" t="str">
        <f t="shared" si="173"/>
        <v>290</v>
      </c>
      <c r="Q328" s="160" t="e">
        <f t="shared" si="174"/>
        <v>#DIV/0!</v>
      </c>
      <c r="R328" s="160" t="e">
        <f t="shared" si="182"/>
        <v>#DIV/0!</v>
      </c>
      <c r="S328" s="160" t="e">
        <f t="shared" si="183"/>
        <v>#DIV/0!</v>
      </c>
      <c r="T328" s="160" t="e">
        <f t="shared" si="175"/>
        <v>#DIV/0!</v>
      </c>
      <c r="U328" s="160" t="e">
        <f t="shared" si="184"/>
        <v>#DIV/0!</v>
      </c>
      <c r="V328" s="160" t="e">
        <f t="shared" si="185"/>
        <v>#DIV/0!</v>
      </c>
      <c r="W328" s="98" t="str">
        <f t="shared" si="176"/>
        <v>1-0.630333037751918i</v>
      </c>
      <c r="X328" s="160">
        <f t="shared" si="186"/>
        <v>1.1820827967962146</v>
      </c>
      <c r="Y328" s="160">
        <f t="shared" si="187"/>
        <v>-0.56242512011235279</v>
      </c>
      <c r="Z328" s="98" t="str">
        <f t="shared" si="177"/>
        <v>0.996725427288303+0.0748504897744502i</v>
      </c>
      <c r="AA328" s="160">
        <f t="shared" si="188"/>
        <v>0.9995319770885398</v>
      </c>
      <c r="AB328" s="160">
        <f t="shared" si="189"/>
        <v>7.4955706204766812E-2</v>
      </c>
      <c r="AC328" s="171" t="e">
        <f t="shared" si="190"/>
        <v>#DIV/0!</v>
      </c>
      <c r="AD328" s="190" t="e">
        <f t="shared" si="191"/>
        <v>#DIV/0!</v>
      </c>
      <c r="AE328" s="169" t="e">
        <f t="shared" si="192"/>
        <v>#DIV/0!</v>
      </c>
      <c r="AF328" s="98" t="str">
        <f t="shared" si="178"/>
        <v>-0.0000182926829268293</v>
      </c>
      <c r="AG328" s="98" t="str">
        <f t="shared" si="179"/>
        <v>0.00175761569867891i</v>
      </c>
      <c r="AH328" s="98">
        <f t="shared" si="193"/>
        <v>1.75761569867891E-3</v>
      </c>
      <c r="AI328" s="98">
        <f t="shared" si="194"/>
        <v>1.5707963267948966</v>
      </c>
      <c r="AJ328" s="98" t="str">
        <f t="shared" si="180"/>
        <v>1+0.172298372579052i</v>
      </c>
      <c r="AK328" s="98">
        <f t="shared" si="195"/>
        <v>1.014734807323268</v>
      </c>
      <c r="AL328" s="98">
        <f t="shared" si="196"/>
        <v>0.17062312078641698</v>
      </c>
      <c r="AM328" s="98" t="str">
        <f t="shared" si="181"/>
        <v>1+17.4021356304842i</v>
      </c>
      <c r="AN328" s="98">
        <f t="shared" si="197"/>
        <v>17.430844055919028</v>
      </c>
      <c r="AO328" s="98">
        <f t="shared" si="198"/>
        <v>1.5133952419489098</v>
      </c>
      <c r="AP328" s="168" t="str">
        <f t="shared" si="199"/>
        <v>-0.174152431975805+0.0404138498978776i</v>
      </c>
      <c r="AQ328" s="98">
        <f t="shared" si="200"/>
        <v>-14.953613130572643</v>
      </c>
      <c r="AR328" s="169">
        <f t="shared" si="201"/>
        <v>166.93517539044004</v>
      </c>
      <c r="AS328" s="168" t="e">
        <f t="shared" si="202"/>
        <v>#DIV/0!</v>
      </c>
      <c r="AT328" s="190" t="e">
        <f t="shared" si="203"/>
        <v>#DIV/0!</v>
      </c>
      <c r="AU328" s="169" t="e">
        <f t="shared" si="204"/>
        <v>#DIV/0!</v>
      </c>
      <c r="AV328" s="225"/>
      <c r="AX328" t="e">
        <f t="shared" si="205"/>
        <v>#DIV/0!</v>
      </c>
      <c r="AY328" t="e">
        <f t="shared" si="206"/>
        <v>#DIV/0!</v>
      </c>
    </row>
    <row r="329" spans="14:51" x14ac:dyDescent="0.25">
      <c r="N329" s="170">
        <v>11</v>
      </c>
      <c r="O329" s="199">
        <f t="shared" si="208"/>
        <v>12882.49551693136</v>
      </c>
      <c r="P329" s="189" t="str">
        <f t="shared" si="173"/>
        <v>290</v>
      </c>
      <c r="Q329" s="160" t="e">
        <f t="shared" si="174"/>
        <v>#DIV/0!</v>
      </c>
      <c r="R329" s="160" t="e">
        <f t="shared" si="182"/>
        <v>#DIV/0!</v>
      </c>
      <c r="S329" s="160" t="e">
        <f t="shared" si="183"/>
        <v>#DIV/0!</v>
      </c>
      <c r="T329" s="160" t="e">
        <f t="shared" si="175"/>
        <v>#DIV/0!</v>
      </c>
      <c r="U329" s="160" t="e">
        <f t="shared" si="184"/>
        <v>#DIV/0!</v>
      </c>
      <c r="V329" s="160" t="e">
        <f t="shared" si="185"/>
        <v>#DIV/0!</v>
      </c>
      <c r="W329" s="98" t="str">
        <f t="shared" si="176"/>
        <v>1-0.645015380334578i</v>
      </c>
      <c r="X329" s="160">
        <f t="shared" si="186"/>
        <v>1.1899768236684949</v>
      </c>
      <c r="Y329" s="160">
        <f t="shared" si="187"/>
        <v>-0.57286310922314276</v>
      </c>
      <c r="Z329" s="98" t="str">
        <f t="shared" si="177"/>
        <v>0.996571101430914+0.0765939816549773i</v>
      </c>
      <c r="AA329" s="160">
        <f t="shared" si="188"/>
        <v>0.99951017915426343</v>
      </c>
      <c r="AB329" s="160">
        <f t="shared" si="189"/>
        <v>7.6706717948544306E-2</v>
      </c>
      <c r="AC329" s="171" t="e">
        <f t="shared" si="190"/>
        <v>#DIV/0!</v>
      </c>
      <c r="AD329" s="190" t="e">
        <f t="shared" si="191"/>
        <v>#DIV/0!</v>
      </c>
      <c r="AE329" s="169" t="e">
        <f t="shared" si="192"/>
        <v>#DIV/0!</v>
      </c>
      <c r="AF329" s="98" t="str">
        <f t="shared" si="178"/>
        <v>-0.0000182926829268293</v>
      </c>
      <c r="AG329" s="98" t="str">
        <f t="shared" si="179"/>
        <v>0.00179855582758077i</v>
      </c>
      <c r="AH329" s="98">
        <f t="shared" si="193"/>
        <v>1.79855582758077E-3</v>
      </c>
      <c r="AI329" s="98">
        <f t="shared" si="194"/>
        <v>1.5707963267948966</v>
      </c>
      <c r="AJ329" s="98" t="str">
        <f t="shared" si="180"/>
        <v>1+0.176311717241523i</v>
      </c>
      <c r="AK329" s="98">
        <f t="shared" si="195"/>
        <v>1.0154239615237839</v>
      </c>
      <c r="AL329" s="98">
        <f t="shared" si="196"/>
        <v>0.17451812194369701</v>
      </c>
      <c r="AM329" s="98" t="str">
        <f t="shared" si="181"/>
        <v>1+17.8074834413938i</v>
      </c>
      <c r="AN329" s="98">
        <f t="shared" si="197"/>
        <v>17.83553942317177</v>
      </c>
      <c r="AO329" s="98">
        <f t="shared" si="198"/>
        <v>1.5146990789113359</v>
      </c>
      <c r="AP329" s="168" t="str">
        <f t="shared" si="199"/>
        <v>-0.173916122498515+0.0408342120251002i</v>
      </c>
      <c r="AQ329" s="98">
        <f t="shared" si="200"/>
        <v>-14.960153499378597</v>
      </c>
      <c r="AR329" s="169">
        <f t="shared" si="201"/>
        <v>166.78671261804948</v>
      </c>
      <c r="AS329" s="168" t="e">
        <f t="shared" si="202"/>
        <v>#DIV/0!</v>
      </c>
      <c r="AT329" s="190" t="e">
        <f t="shared" si="203"/>
        <v>#DIV/0!</v>
      </c>
      <c r="AU329" s="169" t="e">
        <f t="shared" si="204"/>
        <v>#DIV/0!</v>
      </c>
      <c r="AV329" s="225"/>
      <c r="AX329" t="e">
        <f t="shared" si="205"/>
        <v>#DIV/0!</v>
      </c>
      <c r="AY329" t="e">
        <f t="shared" si="206"/>
        <v>#DIV/0!</v>
      </c>
    </row>
    <row r="330" spans="14:51" x14ac:dyDescent="0.25">
      <c r="N330" s="170">
        <v>12</v>
      </c>
      <c r="O330" s="199">
        <f t="shared" si="208"/>
        <v>13182.567385564091</v>
      </c>
      <c r="P330" s="189" t="str">
        <f t="shared" si="173"/>
        <v>290</v>
      </c>
      <c r="Q330" s="160" t="e">
        <f t="shared" si="174"/>
        <v>#DIV/0!</v>
      </c>
      <c r="R330" s="160" t="e">
        <f t="shared" si="182"/>
        <v>#DIV/0!</v>
      </c>
      <c r="S330" s="160" t="e">
        <f t="shared" si="183"/>
        <v>#DIV/0!</v>
      </c>
      <c r="T330" s="160" t="e">
        <f t="shared" si="175"/>
        <v>#DIV/0!</v>
      </c>
      <c r="U330" s="160" t="e">
        <f t="shared" si="184"/>
        <v>#DIV/0!</v>
      </c>
      <c r="V330" s="160" t="e">
        <f t="shared" si="185"/>
        <v>#DIV/0!</v>
      </c>
      <c r="W330" s="98" t="str">
        <f t="shared" si="176"/>
        <v>1-0.660039718609679i</v>
      </c>
      <c r="X330" s="160">
        <f t="shared" si="186"/>
        <v>1.1981871432052442</v>
      </c>
      <c r="Y330" s="160">
        <f t="shared" si="187"/>
        <v>-0.58340067339425583</v>
      </c>
      <c r="Z330" s="98" t="str">
        <f t="shared" si="177"/>
        <v>0.996409502419939+0.0783780846784189i</v>
      </c>
      <c r="AA330" s="160">
        <f t="shared" si="188"/>
        <v>0.99948737894513096</v>
      </c>
      <c r="AB330" s="160">
        <f t="shared" si="189"/>
        <v>7.849887802010716E-2</v>
      </c>
      <c r="AC330" s="171" t="e">
        <f t="shared" si="190"/>
        <v>#DIV/0!</v>
      </c>
      <c r="AD330" s="190" t="e">
        <f t="shared" si="191"/>
        <v>#DIV/0!</v>
      </c>
      <c r="AE330" s="169" t="e">
        <f t="shared" si="192"/>
        <v>#DIV/0!</v>
      </c>
      <c r="AF330" s="98" t="str">
        <f t="shared" si="178"/>
        <v>-0.0000182926829268293</v>
      </c>
      <c r="AG330" s="98" t="str">
        <f t="shared" si="179"/>
        <v>0.00184044957458912i</v>
      </c>
      <c r="AH330" s="98">
        <f t="shared" si="193"/>
        <v>1.8404495745891201E-3</v>
      </c>
      <c r="AI330" s="98">
        <f t="shared" si="194"/>
        <v>1.5707963267948966</v>
      </c>
      <c r="AJ330" s="98" t="str">
        <f t="shared" si="180"/>
        <v>1+0.180418544710236i</v>
      </c>
      <c r="AK330" s="98">
        <f t="shared" si="195"/>
        <v>1.0161450936137808</v>
      </c>
      <c r="AL330" s="98">
        <f t="shared" si="196"/>
        <v>0.17849831807116592</v>
      </c>
      <c r="AM330" s="98" t="str">
        <f t="shared" si="181"/>
        <v>1+18.2222730157338i</v>
      </c>
      <c r="AN330" s="98">
        <f t="shared" si="197"/>
        <v>18.24969133601827</v>
      </c>
      <c r="AO330" s="98">
        <f t="shared" si="198"/>
        <v>1.5159734214404454</v>
      </c>
      <c r="AP330" s="168" t="str">
        <f t="shared" si="199"/>
        <v>-0.173669362473287+0.0412724206457607i</v>
      </c>
      <c r="AQ330" s="98">
        <f t="shared" si="200"/>
        <v>-14.966934347273382</v>
      </c>
      <c r="AR330" s="169">
        <f t="shared" si="201"/>
        <v>166.63167862688326</v>
      </c>
      <c r="AS330" s="168" t="e">
        <f t="shared" si="202"/>
        <v>#DIV/0!</v>
      </c>
      <c r="AT330" s="190" t="e">
        <f t="shared" si="203"/>
        <v>#DIV/0!</v>
      </c>
      <c r="AU330" s="169" t="e">
        <f t="shared" si="204"/>
        <v>#DIV/0!</v>
      </c>
      <c r="AV330" s="225"/>
      <c r="AX330" t="e">
        <f t="shared" si="205"/>
        <v>#DIV/0!</v>
      </c>
      <c r="AY330" t="e">
        <f t="shared" si="206"/>
        <v>#DIV/0!</v>
      </c>
    </row>
    <row r="331" spans="14:51" x14ac:dyDescent="0.25">
      <c r="N331" s="170">
        <v>13</v>
      </c>
      <c r="O331" s="199">
        <f t="shared" si="208"/>
        <v>13489.628825916556</v>
      </c>
      <c r="P331" s="189" t="str">
        <f t="shared" si="173"/>
        <v>290</v>
      </c>
      <c r="Q331" s="160" t="e">
        <f t="shared" si="174"/>
        <v>#DIV/0!</v>
      </c>
      <c r="R331" s="160" t="e">
        <f t="shared" si="182"/>
        <v>#DIV/0!</v>
      </c>
      <c r="S331" s="160" t="e">
        <f t="shared" si="183"/>
        <v>#DIV/0!</v>
      </c>
      <c r="T331" s="160" t="e">
        <f t="shared" si="175"/>
        <v>#DIV/0!</v>
      </c>
      <c r="U331" s="160" t="e">
        <f t="shared" si="184"/>
        <v>#DIV/0!</v>
      </c>
      <c r="V331" s="160" t="e">
        <f t="shared" si="185"/>
        <v>#DIV/0!</v>
      </c>
      <c r="W331" s="98" t="str">
        <f t="shared" si="176"/>
        <v>1-0.675414018680246i</v>
      </c>
      <c r="X331" s="160">
        <f t="shared" si="186"/>
        <v>1.206724532206833</v>
      </c>
      <c r="Y331" s="160">
        <f t="shared" si="187"/>
        <v>-0.59403403885174511</v>
      </c>
      <c r="Z331" s="98" t="str">
        <f t="shared" si="177"/>
        <v>0.996240287482211+0.0802037447998136i</v>
      </c>
      <c r="AA331" s="160">
        <f t="shared" si="188"/>
        <v>0.99946353164212642</v>
      </c>
      <c r="AB331" s="160">
        <f t="shared" si="189"/>
        <v>8.0333170716119992E-2</v>
      </c>
      <c r="AC331" s="171" t="e">
        <f t="shared" si="190"/>
        <v>#DIV/0!</v>
      </c>
      <c r="AD331" s="190" t="e">
        <f t="shared" si="191"/>
        <v>#DIV/0!</v>
      </c>
      <c r="AE331" s="169" t="e">
        <f t="shared" si="192"/>
        <v>#DIV/0!</v>
      </c>
      <c r="AF331" s="98" t="str">
        <f t="shared" si="178"/>
        <v>-0.0000182926829268293</v>
      </c>
      <c r="AG331" s="98" t="str">
        <f t="shared" si="179"/>
        <v>0.00188331915232314i</v>
      </c>
      <c r="AH331" s="98">
        <f t="shared" si="193"/>
        <v>1.88331915232314E-3</v>
      </c>
      <c r="AI331" s="98">
        <f t="shared" si="194"/>
        <v>1.5707963267948966</v>
      </c>
      <c r="AJ331" s="98" t="str">
        <f t="shared" si="180"/>
        <v>1+0.184621032479477i</v>
      </c>
      <c r="AK331" s="98">
        <f t="shared" si="195"/>
        <v>1.016899663503626</v>
      </c>
      <c r="AL331" s="98">
        <f t="shared" si="196"/>
        <v>0.18256531483878721</v>
      </c>
      <c r="AM331" s="98" t="str">
        <f t="shared" si="181"/>
        <v>1+18.6467242804271i</v>
      </c>
      <c r="AN331" s="98">
        <f t="shared" si="197"/>
        <v>18.67351938950635</v>
      </c>
      <c r="AO331" s="98">
        <f t="shared" si="198"/>
        <v>1.5172189286444022</v>
      </c>
      <c r="AP331" s="168" t="str">
        <f t="shared" si="199"/>
        <v>-0.173411722400204+0.041728453357647i</v>
      </c>
      <c r="AQ331" s="98">
        <f t="shared" si="200"/>
        <v>-14.973968859465669</v>
      </c>
      <c r="AR331" s="169">
        <f t="shared" si="201"/>
        <v>166.47001918294504</v>
      </c>
      <c r="AS331" s="168" t="e">
        <f t="shared" si="202"/>
        <v>#DIV/0!</v>
      </c>
      <c r="AT331" s="190" t="e">
        <f t="shared" si="203"/>
        <v>#DIV/0!</v>
      </c>
      <c r="AU331" s="169" t="e">
        <f t="shared" si="204"/>
        <v>#DIV/0!</v>
      </c>
      <c r="AV331" s="225"/>
      <c r="AX331" t="e">
        <f t="shared" si="205"/>
        <v>#DIV/0!</v>
      </c>
      <c r="AY331" t="e">
        <f t="shared" si="206"/>
        <v>#DIV/0!</v>
      </c>
    </row>
    <row r="332" spans="14:51" x14ac:dyDescent="0.25">
      <c r="N332" s="170">
        <v>14</v>
      </c>
      <c r="O332" s="199">
        <f t="shared" si="208"/>
        <v>13803.842646028841</v>
      </c>
      <c r="P332" s="189" t="str">
        <f t="shared" si="173"/>
        <v>290</v>
      </c>
      <c r="Q332" s="160" t="e">
        <f t="shared" si="174"/>
        <v>#DIV/0!</v>
      </c>
      <c r="R332" s="160" t="e">
        <f t="shared" si="182"/>
        <v>#DIV/0!</v>
      </c>
      <c r="S332" s="160" t="e">
        <f t="shared" si="183"/>
        <v>#DIV/0!</v>
      </c>
      <c r="T332" s="160" t="e">
        <f t="shared" si="175"/>
        <v>#DIV/0!</v>
      </c>
      <c r="U332" s="160" t="e">
        <f t="shared" si="184"/>
        <v>#DIV/0!</v>
      </c>
      <c r="V332" s="160" t="e">
        <f t="shared" si="185"/>
        <v>#DIV/0!</v>
      </c>
      <c r="W332" s="98" t="str">
        <f t="shared" si="176"/>
        <v>1-0.691146432203677i</v>
      </c>
      <c r="X332" s="160">
        <f t="shared" si="186"/>
        <v>1.2156000126471997</v>
      </c>
      <c r="Y332" s="160">
        <f t="shared" si="187"/>
        <v>-0.60475922507401858</v>
      </c>
      <c r="Z332" s="98" t="str">
        <f t="shared" si="177"/>
        <v>0.996063097690159+0.0820719300083231i</v>
      </c>
      <c r="AA332" s="160">
        <f t="shared" si="188"/>
        <v>0.99943859054741635</v>
      </c>
      <c r="AB332" s="160">
        <f t="shared" si="189"/>
        <v>8.2210605099993159E-2</v>
      </c>
      <c r="AC332" s="171" t="e">
        <f t="shared" si="190"/>
        <v>#DIV/0!</v>
      </c>
      <c r="AD332" s="190" t="e">
        <f t="shared" si="191"/>
        <v>#DIV/0!</v>
      </c>
      <c r="AE332" s="169" t="e">
        <f t="shared" si="192"/>
        <v>#DIV/0!</v>
      </c>
      <c r="AF332" s="98" t="str">
        <f t="shared" si="178"/>
        <v>-0.0000182926829268293</v>
      </c>
      <c r="AG332" s="98" t="str">
        <f t="shared" si="179"/>
        <v>0.0019271872908004i</v>
      </c>
      <c r="AH332" s="98">
        <f t="shared" si="193"/>
        <v>1.9271872908003999E-3</v>
      </c>
      <c r="AI332" s="98">
        <f t="shared" si="194"/>
        <v>1.5707963267948966</v>
      </c>
      <c r="AJ332" s="98" t="str">
        <f t="shared" si="180"/>
        <v>1+0.188921408763885i</v>
      </c>
      <c r="AK332" s="98">
        <f t="shared" si="195"/>
        <v>1.0176891955254959</v>
      </c>
      <c r="AL332" s="98">
        <f t="shared" si="196"/>
        <v>0.18672073019738114</v>
      </c>
      <c r="AM332" s="98" t="str">
        <f t="shared" si="181"/>
        <v>1+19.0810622851524i</v>
      </c>
      <c r="AN332" s="98">
        <f t="shared" si="197"/>
        <v>19.107248308688128</v>
      </c>
      <c r="AO332" s="98">
        <f t="shared" si="198"/>
        <v>1.5184362454417266</v>
      </c>
      <c r="AP332" s="168" t="str">
        <f t="shared" si="199"/>
        <v>-0.173142758164691+0.0422022809926087i</v>
      </c>
      <c r="AQ332" s="98">
        <f t="shared" si="200"/>
        <v>-14.981270650878177</v>
      </c>
      <c r="AR332" s="169">
        <f t="shared" si="201"/>
        <v>166.3016785355909</v>
      </c>
      <c r="AS332" s="168" t="e">
        <f t="shared" si="202"/>
        <v>#DIV/0!</v>
      </c>
      <c r="AT332" s="190" t="e">
        <f t="shared" si="203"/>
        <v>#DIV/0!</v>
      </c>
      <c r="AU332" s="169" t="e">
        <f t="shared" si="204"/>
        <v>#DIV/0!</v>
      </c>
      <c r="AV332" s="225"/>
      <c r="AX332" t="e">
        <f t="shared" si="205"/>
        <v>#DIV/0!</v>
      </c>
      <c r="AY332" t="e">
        <f t="shared" si="206"/>
        <v>#DIV/0!</v>
      </c>
    </row>
    <row r="333" spans="14:51" x14ac:dyDescent="0.25">
      <c r="N333" s="170">
        <v>15</v>
      </c>
      <c r="O333" s="199">
        <f t="shared" si="208"/>
        <v>14125.375446227561</v>
      </c>
      <c r="P333" s="189" t="str">
        <f t="shared" si="173"/>
        <v>290</v>
      </c>
      <c r="Q333" s="160" t="e">
        <f t="shared" si="174"/>
        <v>#DIV/0!</v>
      </c>
      <c r="R333" s="160" t="e">
        <f t="shared" si="182"/>
        <v>#DIV/0!</v>
      </c>
      <c r="S333" s="160" t="e">
        <f t="shared" si="183"/>
        <v>#DIV/0!</v>
      </c>
      <c r="T333" s="160" t="e">
        <f t="shared" si="175"/>
        <v>#DIV/0!</v>
      </c>
      <c r="U333" s="160" t="e">
        <f t="shared" si="184"/>
        <v>#DIV/0!</v>
      </c>
      <c r="V333" s="160" t="e">
        <f t="shared" si="185"/>
        <v>#DIV/0!</v>
      </c>
      <c r="W333" s="98" t="str">
        <f t="shared" si="176"/>
        <v>1-0.707245300713869i</v>
      </c>
      <c r="X333" s="160">
        <f t="shared" si="186"/>
        <v>1.2248248508998545</v>
      </c>
      <c r="Y333" s="160">
        <f t="shared" si="187"/>
        <v>-0.61557204899196671</v>
      </c>
      <c r="Z333" s="98" t="str">
        <f t="shared" si="177"/>
        <v>0.995877557200478+0.0839836308404737i</v>
      </c>
      <c r="AA333" s="160">
        <f t="shared" si="188"/>
        <v>0.99941250701836837</v>
      </c>
      <c r="AB333" s="160">
        <f t="shared" si="189"/>
        <v>8.4132215709378594E-2</v>
      </c>
      <c r="AC333" s="171" t="e">
        <f t="shared" si="190"/>
        <v>#DIV/0!</v>
      </c>
      <c r="AD333" s="190" t="e">
        <f t="shared" si="191"/>
        <v>#DIV/0!</v>
      </c>
      <c r="AE333" s="169" t="e">
        <f t="shared" si="192"/>
        <v>#DIV/0!</v>
      </c>
      <c r="AF333" s="98" t="str">
        <f t="shared" si="178"/>
        <v>-0.0000182926829268293</v>
      </c>
      <c r="AG333" s="98" t="str">
        <f t="shared" si="179"/>
        <v>0.00197207724948858i</v>
      </c>
      <c r="AH333" s="98">
        <f t="shared" si="193"/>
        <v>1.97207724948858E-3</v>
      </c>
      <c r="AI333" s="98">
        <f t="shared" si="194"/>
        <v>1.5707963267948966</v>
      </c>
      <c r="AJ333" s="98" t="str">
        <f t="shared" si="180"/>
        <v>1+0.193321953679892i</v>
      </c>
      <c r="AK333" s="98">
        <f t="shared" si="195"/>
        <v>1.018515281070741</v>
      </c>
      <c r="AL333" s="98">
        <f t="shared" si="196"/>
        <v>0.19096619309469287</v>
      </c>
      <c r="AM333" s="98" t="str">
        <f t="shared" si="181"/>
        <v>1+19.5255173216691i</v>
      </c>
      <c r="AN333" s="98">
        <f t="shared" si="197"/>
        <v>19.551108067800147</v>
      </c>
      <c r="AO333" s="98">
        <f t="shared" si="198"/>
        <v>1.5196260028305679</v>
      </c>
      <c r="AP333" s="168" t="str">
        <f t="shared" si="199"/>
        <v>-0.172862010828663+0.0426938666669357i</v>
      </c>
      <c r="AQ333" s="98">
        <f t="shared" si="200"/>
        <v>-14.988853785091344</v>
      </c>
      <c r="AR333" s="169">
        <f t="shared" si="201"/>
        <v>166.12659950652059</v>
      </c>
      <c r="AS333" s="168" t="e">
        <f t="shared" si="202"/>
        <v>#DIV/0!</v>
      </c>
      <c r="AT333" s="190" t="e">
        <f t="shared" si="203"/>
        <v>#DIV/0!</v>
      </c>
      <c r="AU333" s="169" t="e">
        <f t="shared" si="204"/>
        <v>#DIV/0!</v>
      </c>
      <c r="AV333" s="225"/>
      <c r="AX333" t="e">
        <f t="shared" si="205"/>
        <v>#DIV/0!</v>
      </c>
      <c r="AY333" t="e">
        <f t="shared" si="206"/>
        <v>#DIV/0!</v>
      </c>
    </row>
    <row r="334" spans="14:51" x14ac:dyDescent="0.25">
      <c r="N334" s="170">
        <v>16</v>
      </c>
      <c r="O334" s="199">
        <f t="shared" si="208"/>
        <v>14454.397707459291</v>
      </c>
      <c r="P334" s="189" t="str">
        <f t="shared" si="173"/>
        <v>290</v>
      </c>
      <c r="Q334" s="160" t="e">
        <f t="shared" si="174"/>
        <v>#DIV/0!</v>
      </c>
      <c r="R334" s="160" t="e">
        <f t="shared" si="182"/>
        <v>#DIV/0!</v>
      </c>
      <c r="S334" s="160" t="e">
        <f t="shared" si="183"/>
        <v>#DIV/0!</v>
      </c>
      <c r="T334" s="160" t="e">
        <f t="shared" si="175"/>
        <v>#DIV/0!</v>
      </c>
      <c r="U334" s="160" t="e">
        <f t="shared" si="184"/>
        <v>#DIV/0!</v>
      </c>
      <c r="V334" s="160" t="e">
        <f t="shared" si="185"/>
        <v>#DIV/0!</v>
      </c>
      <c r="W334" s="98" t="str">
        <f t="shared" si="176"/>
        <v>1-0.723719160043996i</v>
      </c>
      <c r="X334" s="160">
        <f t="shared" si="186"/>
        <v>1.2344105567495713</v>
      </c>
      <c r="Y334" s="160">
        <f t="shared" si="187"/>
        <v>-0.62646813017406178</v>
      </c>
      <c r="Z334" s="98" t="str">
        <f t="shared" si="177"/>
        <v>0.995683272456913+0.0859398609053505i</v>
      </c>
      <c r="AA334" s="160">
        <f t="shared" si="188"/>
        <v>0.99938523040063909</v>
      </c>
      <c r="AB334" s="160">
        <f t="shared" si="189"/>
        <v>8.6099063289364869E-2</v>
      </c>
      <c r="AC334" s="171" t="e">
        <f t="shared" si="190"/>
        <v>#DIV/0!</v>
      </c>
      <c r="AD334" s="190" t="e">
        <f t="shared" si="191"/>
        <v>#DIV/0!</v>
      </c>
      <c r="AE334" s="169" t="e">
        <f t="shared" si="192"/>
        <v>#DIV/0!</v>
      </c>
      <c r="AF334" s="98" t="str">
        <f t="shared" si="178"/>
        <v>-0.0000182926829268293</v>
      </c>
      <c r="AG334" s="98" t="str">
        <f t="shared" si="179"/>
        <v>0.00201801282963797i</v>
      </c>
      <c r="AH334" s="98">
        <f t="shared" si="193"/>
        <v>2.0180128296379699E-3</v>
      </c>
      <c r="AI334" s="98">
        <f t="shared" si="194"/>
        <v>1.5707963267948966</v>
      </c>
      <c r="AJ334" s="98" t="str">
        <f t="shared" si="180"/>
        <v>1+0.197825000454658i</v>
      </c>
      <c r="AK334" s="98">
        <f t="shared" si="195"/>
        <v>1.0193795813164424</v>
      </c>
      <c r="AL334" s="98">
        <f t="shared" si="196"/>
        <v>0.19530334207460509</v>
      </c>
      <c r="AM334" s="98" t="str">
        <f t="shared" si="181"/>
        <v>1+19.9803250459205i</v>
      </c>
      <c r="AN334" s="98">
        <f t="shared" si="197"/>
        <v>20.005334012223791</v>
      </c>
      <c r="AO334" s="98">
        <f t="shared" si="198"/>
        <v>1.5207888181553688</v>
      </c>
      <c r="AP334" s="168" t="str">
        <f t="shared" si="199"/>
        <v>-0.172569006449572+0.0432031647852914i</v>
      </c>
      <c r="AQ334" s="98">
        <f t="shared" si="200"/>
        <v>-14.996732793397063</v>
      </c>
      <c r="AR334" s="169">
        <f t="shared" si="201"/>
        <v>165.94472358531641</v>
      </c>
      <c r="AS334" s="168" t="e">
        <f t="shared" si="202"/>
        <v>#DIV/0!</v>
      </c>
      <c r="AT334" s="190" t="e">
        <f t="shared" si="203"/>
        <v>#DIV/0!</v>
      </c>
      <c r="AU334" s="169" t="e">
        <f t="shared" si="204"/>
        <v>#DIV/0!</v>
      </c>
      <c r="AV334" s="225"/>
      <c r="AX334" t="e">
        <f t="shared" si="205"/>
        <v>#DIV/0!</v>
      </c>
      <c r="AY334" t="e">
        <f t="shared" si="206"/>
        <v>#DIV/0!</v>
      </c>
    </row>
    <row r="335" spans="14:51" x14ac:dyDescent="0.25">
      <c r="N335" s="170">
        <v>17</v>
      </c>
      <c r="O335" s="199">
        <f t="shared" si="208"/>
        <v>14791.083881682089</v>
      </c>
      <c r="P335" s="189" t="str">
        <f t="shared" si="173"/>
        <v>290</v>
      </c>
      <c r="Q335" s="160" t="e">
        <f t="shared" si="174"/>
        <v>#DIV/0!</v>
      </c>
      <c r="R335" s="160" t="e">
        <f t="shared" si="182"/>
        <v>#DIV/0!</v>
      </c>
      <c r="S335" s="160" t="e">
        <f t="shared" si="183"/>
        <v>#DIV/0!</v>
      </c>
      <c r="T335" s="160" t="e">
        <f t="shared" si="175"/>
        <v>#DIV/0!</v>
      </c>
      <c r="U335" s="160" t="e">
        <f t="shared" si="184"/>
        <v>#DIV/0!</v>
      </c>
      <c r="V335" s="160" t="e">
        <f t="shared" si="185"/>
        <v>#DIV/0!</v>
      </c>
      <c r="W335" s="98" t="str">
        <f t="shared" si="176"/>
        <v>1-0.740576744852335i</v>
      </c>
      <c r="X335" s="160">
        <f t="shared" si="186"/>
        <v>1.2443688822114127</v>
      </c>
      <c r="Y335" s="160">
        <f t="shared" si="187"/>
        <v>-0.63744289700444112</v>
      </c>
      <c r="Z335" s="98" t="str">
        <f t="shared" si="177"/>
        <v>0.995479831355476+0.0879416574220279i</v>
      </c>
      <c r="AA335" s="160">
        <f t="shared" si="188"/>
        <v>0.99935670796050613</v>
      </c>
      <c r="AB335" s="160">
        <f t="shared" si="189"/>
        <v>8.8112235552618948E-2</v>
      </c>
      <c r="AC335" s="171" t="e">
        <f t="shared" si="190"/>
        <v>#DIV/0!</v>
      </c>
      <c r="AD335" s="190" t="e">
        <f t="shared" si="191"/>
        <v>#DIV/0!</v>
      </c>
      <c r="AE335" s="169" t="e">
        <f t="shared" si="192"/>
        <v>#DIV/0!</v>
      </c>
      <c r="AF335" s="98" t="str">
        <f t="shared" si="178"/>
        <v>-0.0000182926829268293</v>
      </c>
      <c r="AG335" s="98" t="str">
        <f t="shared" si="179"/>
        <v>0.00206501838690119i</v>
      </c>
      <c r="AH335" s="98">
        <f t="shared" si="193"/>
        <v>2.06501838690119E-3</v>
      </c>
      <c r="AI335" s="98">
        <f t="shared" si="194"/>
        <v>1.5707963267948966</v>
      </c>
      <c r="AJ335" s="98" t="str">
        <f t="shared" si="180"/>
        <v>1+0.202432936663189i</v>
      </c>
      <c r="AK335" s="98">
        <f t="shared" si="195"/>
        <v>1.0202838300424459</v>
      </c>
      <c r="AL335" s="98">
        <f t="shared" si="196"/>
        <v>0.1997338237533253</v>
      </c>
      <c r="AM335" s="98" t="str">
        <f t="shared" si="181"/>
        <v>1+20.445726602982i</v>
      </c>
      <c r="AN335" s="98">
        <f t="shared" si="197"/>
        <v>20.470166983292678</v>
      </c>
      <c r="AO335" s="98">
        <f t="shared" si="198"/>
        <v>1.5219252953707563</v>
      </c>
      <c r="AP335" s="168" t="str">
        <f t="shared" si="199"/>
        <v>-0.172263255931205+0.0437301199971614i</v>
      </c>
      <c r="AQ335" s="98">
        <f t="shared" si="200"/>
        <v>-15.004922693932777</v>
      </c>
      <c r="AR335" s="169">
        <f t="shared" si="201"/>
        <v>165.75599103187017</v>
      </c>
      <c r="AS335" s="168" t="e">
        <f t="shared" si="202"/>
        <v>#DIV/0!</v>
      </c>
      <c r="AT335" s="190" t="e">
        <f t="shared" si="203"/>
        <v>#DIV/0!</v>
      </c>
      <c r="AU335" s="169" t="e">
        <f t="shared" si="204"/>
        <v>#DIV/0!</v>
      </c>
      <c r="AV335" s="225"/>
      <c r="AX335" t="e">
        <f t="shared" si="205"/>
        <v>#DIV/0!</v>
      </c>
      <c r="AY335" t="e">
        <f t="shared" si="206"/>
        <v>#DIV/0!</v>
      </c>
    </row>
    <row r="336" spans="14:51" x14ac:dyDescent="0.25">
      <c r="N336" s="170">
        <v>18</v>
      </c>
      <c r="O336" s="199">
        <f t="shared" si="208"/>
        <v>15135.612484362096</v>
      </c>
      <c r="P336" s="189" t="str">
        <f t="shared" si="173"/>
        <v>290</v>
      </c>
      <c r="Q336" s="160" t="e">
        <f t="shared" si="174"/>
        <v>#DIV/0!</v>
      </c>
      <c r="R336" s="160" t="e">
        <f t="shared" si="182"/>
        <v>#DIV/0!</v>
      </c>
      <c r="S336" s="160" t="e">
        <f t="shared" si="183"/>
        <v>#DIV/0!</v>
      </c>
      <c r="T336" s="160" t="e">
        <f t="shared" si="175"/>
        <v>#DIV/0!</v>
      </c>
      <c r="U336" s="160" t="e">
        <f t="shared" si="184"/>
        <v>#DIV/0!</v>
      </c>
      <c r="V336" s="160" t="e">
        <f t="shared" si="185"/>
        <v>#DIV/0!</v>
      </c>
      <c r="W336" s="98" t="str">
        <f t="shared" si="176"/>
        <v>1-0.757826993253486i</v>
      </c>
      <c r="X336" s="160">
        <f t="shared" si="186"/>
        <v>1.2547118201816778</v>
      </c>
      <c r="Y336" s="160">
        <f t="shared" si="187"/>
        <v>-0.64849159385361632</v>
      </c>
      <c r="Z336" s="98" t="str">
        <f t="shared" si="177"/>
        <v>0.995266802370315+0.0899900817695159i</v>
      </c>
      <c r="AA336" s="160">
        <f t="shared" si="188"/>
        <v>0.99932688481663279</v>
      </c>
      <c r="AB336" s="160">
        <f t="shared" si="189"/>
        <v>9.0172847967786338E-2</v>
      </c>
      <c r="AC336" s="171" t="e">
        <f t="shared" si="190"/>
        <v>#DIV/0!</v>
      </c>
      <c r="AD336" s="190" t="e">
        <f t="shared" si="191"/>
        <v>#DIV/0!</v>
      </c>
      <c r="AE336" s="169" t="e">
        <f t="shared" si="192"/>
        <v>#DIV/0!</v>
      </c>
      <c r="AF336" s="98" t="str">
        <f t="shared" si="178"/>
        <v>-0.0000182926829268293</v>
      </c>
      <c r="AG336" s="98" t="str">
        <f t="shared" si="179"/>
        <v>0.00211311884424689i</v>
      </c>
      <c r="AH336" s="98">
        <f t="shared" si="193"/>
        <v>2.11311884424689E-3</v>
      </c>
      <c r="AI336" s="98">
        <f t="shared" si="194"/>
        <v>1.5707963267948966</v>
      </c>
      <c r="AJ336" s="98" t="str">
        <f t="shared" si="180"/>
        <v>1+0.207148205494255i</v>
      </c>
      <c r="AK336" s="98">
        <f t="shared" si="195"/>
        <v>1.0212298365399877</v>
      </c>
      <c r="AL336" s="98">
        <f t="shared" si="196"/>
        <v>0.20425929116617242</v>
      </c>
      <c r="AM336" s="98" t="str">
        <f t="shared" si="181"/>
        <v>1+20.9219687549197i</v>
      </c>
      <c r="AN336" s="98">
        <f t="shared" si="197"/>
        <v>20.94585344601256</v>
      </c>
      <c r="AO336" s="98">
        <f t="shared" si="198"/>
        <v>1.5230360253025095</v>
      </c>
      <c r="AP336" s="168" t="str">
        <f t="shared" si="199"/>
        <v>-0.171944254910375+0.0442746661049095i</v>
      </c>
      <c r="AQ336" s="98">
        <f t="shared" si="200"/>
        <v>-15.01343901086198</v>
      </c>
      <c r="AR336" s="169">
        <f t="shared" si="201"/>
        <v>165.56034098605835</v>
      </c>
      <c r="AS336" s="168" t="e">
        <f t="shared" si="202"/>
        <v>#DIV/0!</v>
      </c>
      <c r="AT336" s="190" t="e">
        <f t="shared" si="203"/>
        <v>#DIV/0!</v>
      </c>
      <c r="AU336" s="169" t="e">
        <f t="shared" si="204"/>
        <v>#DIV/0!</v>
      </c>
      <c r="AV336" s="225"/>
      <c r="AX336" t="e">
        <f t="shared" si="205"/>
        <v>#DIV/0!</v>
      </c>
      <c r="AY336" t="e">
        <f t="shared" si="206"/>
        <v>#DIV/0!</v>
      </c>
    </row>
    <row r="337" spans="14:51" x14ac:dyDescent="0.25">
      <c r="N337" s="170">
        <v>19</v>
      </c>
      <c r="O337" s="199">
        <f t="shared" si="208"/>
        <v>15488.166189124853</v>
      </c>
      <c r="P337" s="189" t="str">
        <f t="shared" si="173"/>
        <v>290</v>
      </c>
      <c r="Q337" s="160" t="e">
        <f t="shared" si="174"/>
        <v>#DIV/0!</v>
      </c>
      <c r="R337" s="160" t="e">
        <f t="shared" si="182"/>
        <v>#DIV/0!</v>
      </c>
      <c r="S337" s="160" t="e">
        <f t="shared" si="183"/>
        <v>#DIV/0!</v>
      </c>
      <c r="T337" s="160" t="e">
        <f t="shared" si="175"/>
        <v>#DIV/0!</v>
      </c>
      <c r="U337" s="160" t="e">
        <f t="shared" si="184"/>
        <v>#DIV/0!</v>
      </c>
      <c r="V337" s="160" t="e">
        <f t="shared" si="185"/>
        <v>#DIV/0!</v>
      </c>
      <c r="W337" s="98" t="str">
        <f t="shared" si="176"/>
        <v>1-0.775479051557488i</v>
      </c>
      <c r="X337" s="160">
        <f t="shared" si="186"/>
        <v>1.2654516029483314</v>
      </c>
      <c r="Y337" s="160">
        <f t="shared" si="187"/>
        <v>-0.65960928923279161</v>
      </c>
      <c r="Z337" s="98" t="str">
        <f t="shared" si="177"/>
        <v>0.995043733638389+0.0920862200495178i</v>
      </c>
      <c r="AA337" s="160">
        <f t="shared" si="188"/>
        <v>0.99929570387149858</v>
      </c>
      <c r="AB337" s="160">
        <f t="shared" si="189"/>
        <v>9.2282044577547143E-2</v>
      </c>
      <c r="AC337" s="171" t="e">
        <f t="shared" si="190"/>
        <v>#DIV/0!</v>
      </c>
      <c r="AD337" s="190" t="e">
        <f t="shared" si="191"/>
        <v>#DIV/0!</v>
      </c>
      <c r="AE337" s="169" t="e">
        <f t="shared" si="192"/>
        <v>#DIV/0!</v>
      </c>
      <c r="AF337" s="98" t="str">
        <f t="shared" si="178"/>
        <v>-0.0000182926829268293</v>
      </c>
      <c r="AG337" s="98" t="str">
        <f t="shared" si="179"/>
        <v>0.00216233970517426i</v>
      </c>
      <c r="AH337" s="98">
        <f t="shared" si="193"/>
        <v>2.1623397051742598E-3</v>
      </c>
      <c r="AI337" s="98">
        <f t="shared" si="194"/>
        <v>1.5707963267948966</v>
      </c>
      <c r="AJ337" s="98" t="str">
        <f t="shared" si="180"/>
        <v>1+0.211973307045805i</v>
      </c>
      <c r="AK337" s="98">
        <f t="shared" si="195"/>
        <v>1.0222194886128591</v>
      </c>
      <c r="AL337" s="98">
        <f t="shared" si="196"/>
        <v>0.20888140197855204</v>
      </c>
      <c r="AM337" s="98" t="str">
        <f t="shared" si="181"/>
        <v>1+21.4093040116263i</v>
      </c>
      <c r="AN337" s="98">
        <f t="shared" si="197"/>
        <v>21.432645619760478</v>
      </c>
      <c r="AO337" s="98">
        <f t="shared" si="198"/>
        <v>1.5241215859054631</v>
      </c>
      <c r="AP337" s="168" t="str">
        <f t="shared" si="199"/>
        <v>-0.171611483683886+0.0448367249227475i</v>
      </c>
      <c r="AQ337" s="98">
        <f t="shared" si="200"/>
        <v>-15.022297793564443</v>
      </c>
      <c r="AR337" s="169">
        <f t="shared" si="201"/>
        <v>165.35771158502214</v>
      </c>
      <c r="AS337" s="168" t="e">
        <f t="shared" si="202"/>
        <v>#DIV/0!</v>
      </c>
      <c r="AT337" s="190" t="e">
        <f t="shared" si="203"/>
        <v>#DIV/0!</v>
      </c>
      <c r="AU337" s="169" t="e">
        <f t="shared" si="204"/>
        <v>#DIV/0!</v>
      </c>
      <c r="AV337" s="225"/>
      <c r="AX337" t="e">
        <f t="shared" si="205"/>
        <v>#DIV/0!</v>
      </c>
      <c r="AY337" t="e">
        <f t="shared" si="206"/>
        <v>#DIV/0!</v>
      </c>
    </row>
    <row r="338" spans="14:51" x14ac:dyDescent="0.25">
      <c r="N338" s="170">
        <v>20</v>
      </c>
      <c r="O338" s="199">
        <f t="shared" si="208"/>
        <v>15848.931924611146</v>
      </c>
      <c r="P338" s="189" t="str">
        <f t="shared" si="173"/>
        <v>290</v>
      </c>
      <c r="Q338" s="160" t="e">
        <f t="shared" si="174"/>
        <v>#DIV/0!</v>
      </c>
      <c r="R338" s="160" t="e">
        <f t="shared" si="182"/>
        <v>#DIV/0!</v>
      </c>
      <c r="S338" s="160" t="e">
        <f t="shared" si="183"/>
        <v>#DIV/0!</v>
      </c>
      <c r="T338" s="160" t="e">
        <f t="shared" si="175"/>
        <v>#DIV/0!</v>
      </c>
      <c r="U338" s="160" t="e">
        <f t="shared" si="184"/>
        <v>#DIV/0!</v>
      </c>
      <c r="V338" s="160" t="e">
        <f t="shared" si="185"/>
        <v>#DIV/0!</v>
      </c>
      <c r="W338" s="98" t="str">
        <f t="shared" si="176"/>
        <v>1-0.793542279119302i</v>
      </c>
      <c r="X338" s="160">
        <f t="shared" si="186"/>
        <v>1.2766007005911661</v>
      </c>
      <c r="Y338" s="160">
        <f t="shared" si="187"/>
        <v>-0.67079088491366579</v>
      </c>
      <c r="Z338" s="98" t="str">
        <f t="shared" si="177"/>
        <v>0.994810152001013+0.0942311836622949i</v>
      </c>
      <c r="AA338" s="160">
        <f t="shared" si="188"/>
        <v>0.99926310574276467</v>
      </c>
      <c r="AB338" s="160">
        <f t="shared" si="189"/>
        <v>9.4440998847801383E-2</v>
      </c>
      <c r="AC338" s="171" t="e">
        <f t="shared" si="190"/>
        <v>#DIV/0!</v>
      </c>
      <c r="AD338" s="190" t="e">
        <f t="shared" si="191"/>
        <v>#DIV/0!</v>
      </c>
      <c r="AE338" s="169" t="e">
        <f t="shared" si="192"/>
        <v>#DIV/0!</v>
      </c>
      <c r="AF338" s="98" t="str">
        <f t="shared" si="178"/>
        <v>-0.0000182926829268293</v>
      </c>
      <c r="AG338" s="98" t="str">
        <f t="shared" si="179"/>
        <v>0.00221270706723524i</v>
      </c>
      <c r="AH338" s="98">
        <f t="shared" si="193"/>
        <v>2.2127070672352399E-3</v>
      </c>
      <c r="AI338" s="98">
        <f t="shared" si="194"/>
        <v>1.5707963267948966</v>
      </c>
      <c r="AJ338" s="98" t="str">
        <f t="shared" si="180"/>
        <v>1+0.216910799650548i</v>
      </c>
      <c r="AK338" s="98">
        <f t="shared" si="195"/>
        <v>1.0232547556718417</v>
      </c>
      <c r="AL338" s="98">
        <f t="shared" si="196"/>
        <v>0.21360181655459534</v>
      </c>
      <c r="AM338" s="98" t="str">
        <f t="shared" si="181"/>
        <v>1+21.9079907647053i</v>
      </c>
      <c r="AN338" s="98">
        <f t="shared" si="197"/>
        <v>21.930801612034447</v>
      </c>
      <c r="AO338" s="98">
        <f t="shared" si="198"/>
        <v>1.5251825425182384</v>
      </c>
      <c r="AP338" s="168" t="str">
        <f t="shared" si="199"/>
        <v>-0.171264407180534+0.0454162050861491i</v>
      </c>
      <c r="AQ338" s="98">
        <f t="shared" si="200"/>
        <v>-15.031515635790599</v>
      </c>
      <c r="AR338" s="169">
        <f t="shared" si="201"/>
        <v>165.14804008842128</v>
      </c>
      <c r="AS338" s="168" t="e">
        <f t="shared" si="202"/>
        <v>#DIV/0!</v>
      </c>
      <c r="AT338" s="190" t="e">
        <f t="shared" si="203"/>
        <v>#DIV/0!</v>
      </c>
      <c r="AU338" s="169" t="e">
        <f t="shared" si="204"/>
        <v>#DIV/0!</v>
      </c>
      <c r="AV338" s="225"/>
      <c r="AX338" t="e">
        <f t="shared" si="205"/>
        <v>#DIV/0!</v>
      </c>
      <c r="AY338" t="e">
        <f t="shared" si="206"/>
        <v>#DIV/0!</v>
      </c>
    </row>
    <row r="339" spans="14:51" x14ac:dyDescent="0.25">
      <c r="N339" s="170">
        <v>21</v>
      </c>
      <c r="O339" s="199">
        <f t="shared" si="208"/>
        <v>16218.100973589309</v>
      </c>
      <c r="P339" s="189" t="str">
        <f t="shared" ref="P339:P402" si="209">COMPLEX(Adc,0)</f>
        <v>290</v>
      </c>
      <c r="Q339" s="160" t="e">
        <f t="shared" ref="Q339:Q402" si="210">IMSUM(COMPLEX(1,0),IMDIV(COMPLEX(0,2*PI()*O339),COMPLEX(wp_lf,0)))</f>
        <v>#DIV/0!</v>
      </c>
      <c r="R339" s="160" t="e">
        <f t="shared" si="182"/>
        <v>#DIV/0!</v>
      </c>
      <c r="S339" s="160" t="e">
        <f t="shared" si="183"/>
        <v>#DIV/0!</v>
      </c>
      <c r="T339" s="160" t="e">
        <f t="shared" ref="T339:T402" si="211">IMSUM(COMPLEX(1,0),IMDIV(COMPLEX(0,2*PI()*O339),COMPLEX(wz_esr,0)))</f>
        <v>#DIV/0!</v>
      </c>
      <c r="U339" s="160" t="e">
        <f t="shared" si="184"/>
        <v>#DIV/0!</v>
      </c>
      <c r="V339" s="160" t="e">
        <f t="shared" si="185"/>
        <v>#DIV/0!</v>
      </c>
      <c r="W339" s="98" t="str">
        <f t="shared" ref="W339:W402" si="212">IMSUB(COMPLEX(1,0),IMDIV(COMPLEX(0,2*PI()*O339),COMPLEX(wz_rhp,0)))</f>
        <v>1-0.812026253301278i</v>
      </c>
      <c r="X339" s="160">
        <f t="shared" si="186"/>
        <v>1.2881718193045955</v>
      </c>
      <c r="Y339" s="160">
        <f t="shared" si="187"/>
        <v>-0.68203112598640458</v>
      </c>
      <c r="Z339" s="98" t="str">
        <f t="shared" ref="Z339:Z402" si="213">IF(Dc_Mode_Loop="CCM",IMSUM(COMPLEX(1,0),IMDIV(COMPLEX(0,2*PI()*O339),COMPLEX(Q*(wsl/2),0)),IMDIV(IMPOWER(COMPLEX(0,2*PI()*O339),2),IMPOWER(COMPLEX(wsl/2,0),2))),COMPLEX(1,0))</f>
        <v>0.994565562000216+0.0964261098959468i</v>
      </c>
      <c r="AA339" s="160">
        <f t="shared" si="188"/>
        <v>0.99922902869485863</v>
      </c>
      <c r="AB339" s="160">
        <f t="shared" si="189"/>
        <v>9.6650914549553518E-2</v>
      </c>
      <c r="AC339" s="171" t="e">
        <f t="shared" si="190"/>
        <v>#DIV/0!</v>
      </c>
      <c r="AD339" s="190" t="e">
        <f t="shared" si="191"/>
        <v>#DIV/0!</v>
      </c>
      <c r="AE339" s="169" t="e">
        <f t="shared" si="192"/>
        <v>#DIV/0!</v>
      </c>
      <c r="AF339" s="98" t="str">
        <f t="shared" ref="AF339:AF402" si="214">COMPLEX(Adc_ea,0)</f>
        <v>-0.0000182926829268293</v>
      </c>
      <c r="AG339" s="98" t="str">
        <f t="shared" ref="AG339:AG402" si="215">COMPLEX(0,2*PI()*O339*wp0_ea)</f>
        <v>0.00226424763587192i</v>
      </c>
      <c r="AH339" s="98">
        <f t="shared" si="193"/>
        <v>2.2642476358719198E-3</v>
      </c>
      <c r="AI339" s="98">
        <f t="shared" si="194"/>
        <v>1.5707963267948966</v>
      </c>
      <c r="AJ339" s="98" t="str">
        <f t="shared" ref="AJ339:AJ402" si="216">IMSUM(COMPLEX(1,0),IMDIV(COMPLEX(0,2*PI()*O339),COMPLEX(wp1_ea,0)))</f>
        <v>1+0.22196330123242i</v>
      </c>
      <c r="AK339" s="98">
        <f t="shared" si="195"/>
        <v>1.0243376919229292</v>
      </c>
      <c r="AL339" s="98">
        <f t="shared" si="196"/>
        <v>0.21842219587693137</v>
      </c>
      <c r="AM339" s="98" t="str">
        <f t="shared" ref="AM339:AM402" si="217">IMSUM(COMPLEX(1,0),IMDIV(COMPLEX(0,2*PI()*O339),COMPLEX(wz_ea,0)))</f>
        <v>1+22.4182934244744i</v>
      </c>
      <c r="AN339" s="98">
        <f t="shared" si="197"/>
        <v>22.440585555324358</v>
      </c>
      <c r="AO339" s="98">
        <f t="shared" si="198"/>
        <v>1.5262194481146925</v>
      </c>
      <c r="AP339" s="168" t="str">
        <f t="shared" si="199"/>
        <v>-0.170902474983134+0.0460130008114978i</v>
      </c>
      <c r="AQ339" s="98">
        <f t="shared" si="200"/>
        <v>-15.041109694732519</v>
      </c>
      <c r="AR339" s="169">
        <f t="shared" si="201"/>
        <v>164.93126301202969</v>
      </c>
      <c r="AS339" s="168" t="e">
        <f t="shared" si="202"/>
        <v>#DIV/0!</v>
      </c>
      <c r="AT339" s="190" t="e">
        <f t="shared" si="203"/>
        <v>#DIV/0!</v>
      </c>
      <c r="AU339" s="169" t="e">
        <f t="shared" si="204"/>
        <v>#DIV/0!</v>
      </c>
      <c r="AV339" s="225"/>
      <c r="AX339" t="e">
        <f t="shared" si="205"/>
        <v>#DIV/0!</v>
      </c>
      <c r="AY339" t="e">
        <f t="shared" si="206"/>
        <v>#DIV/0!</v>
      </c>
    </row>
    <row r="340" spans="14:51" x14ac:dyDescent="0.25">
      <c r="N340" s="170">
        <v>22</v>
      </c>
      <c r="O340" s="199">
        <f t="shared" si="208"/>
        <v>16595.869074375616</v>
      </c>
      <c r="P340" s="189" t="str">
        <f t="shared" si="209"/>
        <v>290</v>
      </c>
      <c r="Q340" s="160" t="e">
        <f t="shared" si="210"/>
        <v>#DIV/0!</v>
      </c>
      <c r="R340" s="160" t="e">
        <f t="shared" ref="R340:R403" si="218">IMABS(Q340)</f>
        <v>#DIV/0!</v>
      </c>
      <c r="S340" s="160" t="e">
        <f t="shared" ref="S340:S403" si="219">IMARGUMENT(Q340)</f>
        <v>#DIV/0!</v>
      </c>
      <c r="T340" s="160" t="e">
        <f t="shared" si="211"/>
        <v>#DIV/0!</v>
      </c>
      <c r="U340" s="160" t="e">
        <f t="shared" ref="U340:U403" si="220">IMABS(T340)</f>
        <v>#DIV/0!</v>
      </c>
      <c r="V340" s="160" t="e">
        <f t="shared" ref="V340:V403" si="221">IMARGUMENT(T340)</f>
        <v>#DIV/0!</v>
      </c>
      <c r="W340" s="98" t="str">
        <f t="shared" si="212"/>
        <v>1-0.830940774551197i</v>
      </c>
      <c r="X340" s="160">
        <f t="shared" ref="X340:X403" si="222">IMABS(W340)</f>
        <v>1.3001778996782491</v>
      </c>
      <c r="Y340" s="160">
        <f t="shared" ref="Y340:Y403" si="223">IMARGUMENT(W340)</f>
        <v>-0.6933246118191011</v>
      </c>
      <c r="Z340" s="98" t="str">
        <f t="shared" si="213"/>
        <v>0.994309444827814+0.0986721625294166i</v>
      </c>
      <c r="AA340" s="160">
        <f t="shared" ref="AA340:AA403" si="224">IMABS(Z340)</f>
        <v>0.99919340857114725</v>
      </c>
      <c r="AB340" s="160">
        <f t="shared" ref="AB340:AB403" si="225">IMARGUMENT(Z340)</f>
        <v>9.8913026675148591E-2</v>
      </c>
      <c r="AC340" s="171" t="e">
        <f t="shared" ref="AC340:AC403" si="226">(IMDIV(IMPRODUCT(P340,T340,W340),IMPRODUCT(Q340,Z340)))</f>
        <v>#DIV/0!</v>
      </c>
      <c r="AD340" s="190" t="e">
        <f t="shared" ref="AD340:AD403" si="227">20*LOG(IMABS(AC340))</f>
        <v>#DIV/0!</v>
      </c>
      <c r="AE340" s="169" t="e">
        <f t="shared" ref="AE340:AE403" si="228">(180/PI())*IMARGUMENT(AC340)</f>
        <v>#DIV/0!</v>
      </c>
      <c r="AF340" s="98" t="str">
        <f t="shared" si="214"/>
        <v>-0.0000182926829268293</v>
      </c>
      <c r="AG340" s="98" t="str">
        <f t="shared" si="215"/>
        <v>0.002316988738576i</v>
      </c>
      <c r="AH340" s="98">
        <f t="shared" ref="AH340:AH403" si="229">IMABS(AG340)</f>
        <v>2.3169887385760001E-3</v>
      </c>
      <c r="AI340" s="98">
        <f t="shared" ref="AI340:AI403" si="230">IMARGUMENT(AG340)</f>
        <v>1.5707963267948966</v>
      </c>
      <c r="AJ340" s="98" t="str">
        <f t="shared" si="216"/>
        <v>1+0.227133490694638i</v>
      </c>
      <c r="AK340" s="98">
        <f t="shared" ref="AK340:AK403" si="231">IMABS(AJ340)</f>
        <v>1.0254704396495937</v>
      </c>
      <c r="AL340" s="98">
        <f t="shared" ref="AL340:AL403" si="232">IMARGUMENT(AJ340)</f>
        <v>0.22334419931102406</v>
      </c>
      <c r="AM340" s="98" t="str">
        <f t="shared" si="217"/>
        <v>1+22.9404825601584i</v>
      </c>
      <c r="AN340" s="98">
        <f t="shared" ref="AN340:AN403" si="233">IMABS(AM340)</f>
        <v>22.962267747174533</v>
      </c>
      <c r="AO340" s="98">
        <f t="shared" ref="AO340:AO403" si="234">IMARGUMENT(AM340)</f>
        <v>1.5272328435519968</v>
      </c>
      <c r="AP340" s="168" t="str">
        <f t="shared" ref="AP340:AP403" si="235">IMPRODUCT(AF340,IMDIV(AM340,IMPRODUCT(AG340,AJ340)))</f>
        <v>-0.170525121405921+0.0466269906060703i</v>
      </c>
      <c r="AQ340" s="98">
        <f t="shared" ref="AQ340:AQ403" si="236">20*LOG(IMABS(AP340))</f>
        <v>-15.05109770995541</v>
      </c>
      <c r="AR340" s="169">
        <f t="shared" ref="AR340:AR403" si="237">(180/PI())*IMARGUMENT(AP340)</f>
        <v>164.70731627004255</v>
      </c>
      <c r="AS340" s="168" t="e">
        <f t="shared" ref="AS340:AS403" si="238">IMPRODUCT(AC340,AP340)</f>
        <v>#DIV/0!</v>
      </c>
      <c r="AT340" s="190" t="e">
        <f t="shared" ref="AT340:AT403" si="239">20*LOG(IMABS(AS340))</f>
        <v>#DIV/0!</v>
      </c>
      <c r="AU340" s="169" t="e">
        <f t="shared" ref="AU340:AU403" si="240">(180/PI())*IMARGUMENT(AS340)</f>
        <v>#DIV/0!</v>
      </c>
      <c r="AV340" s="225"/>
      <c r="AX340" t="e">
        <f t="shared" ref="AX340:AX403" si="241">SUM((AT341&lt;0)*(AT340&gt;0))*O340</f>
        <v>#DIV/0!</v>
      </c>
      <c r="AY340" t="e">
        <f t="shared" ref="AY340:AY403" si="242">IF(AX340&gt;0,AU340,0)</f>
        <v>#DIV/0!</v>
      </c>
    </row>
    <row r="341" spans="14:51" x14ac:dyDescent="0.25">
      <c r="N341" s="170">
        <v>23</v>
      </c>
      <c r="O341" s="199">
        <f t="shared" si="208"/>
        <v>16982.436524617482</v>
      </c>
      <c r="P341" s="189" t="str">
        <f t="shared" si="209"/>
        <v>290</v>
      </c>
      <c r="Q341" s="160" t="e">
        <f t="shared" si="210"/>
        <v>#DIV/0!</v>
      </c>
      <c r="R341" s="160" t="e">
        <f t="shared" si="218"/>
        <v>#DIV/0!</v>
      </c>
      <c r="S341" s="160" t="e">
        <f t="shared" si="219"/>
        <v>#DIV/0!</v>
      </c>
      <c r="T341" s="160" t="e">
        <f t="shared" si="211"/>
        <v>#DIV/0!</v>
      </c>
      <c r="U341" s="160" t="e">
        <f t="shared" si="220"/>
        <v>#DIV/0!</v>
      </c>
      <c r="V341" s="160" t="e">
        <f t="shared" si="221"/>
        <v>#DIV/0!</v>
      </c>
      <c r="W341" s="98" t="str">
        <f t="shared" si="212"/>
        <v>1-0.850295871598586i</v>
      </c>
      <c r="X341" s="160">
        <f t="shared" si="222"/>
        <v>1.3126321149726603</v>
      </c>
      <c r="Y341" s="160">
        <f t="shared" si="223"/>
        <v>-0.70466580787282662</v>
      </c>
      <c r="Z341" s="98" t="str">
        <f t="shared" si="213"/>
        <v>0.994041257224945+0.10097053244954i</v>
      </c>
      <c r="AA341" s="160">
        <f t="shared" si="224"/>
        <v>0.99915617872707618</v>
      </c>
      <c r="AB341" s="160">
        <f t="shared" si="225"/>
        <v>0.10122860239061837</v>
      </c>
      <c r="AC341" s="171" t="e">
        <f t="shared" si="226"/>
        <v>#DIV/0!</v>
      </c>
      <c r="AD341" s="190" t="e">
        <f t="shared" si="227"/>
        <v>#DIV/0!</v>
      </c>
      <c r="AE341" s="169" t="e">
        <f t="shared" si="228"/>
        <v>#DIV/0!</v>
      </c>
      <c r="AF341" s="98" t="str">
        <f t="shared" si="214"/>
        <v>-0.0000182926829268293</v>
      </c>
      <c r="AG341" s="98" t="str">
        <f t="shared" si="215"/>
        <v>0.00237095833937825i</v>
      </c>
      <c r="AH341" s="98">
        <f t="shared" si="229"/>
        <v>2.3709583393782502E-3</v>
      </c>
      <c r="AI341" s="98">
        <f t="shared" si="230"/>
        <v>1.5707963267948966</v>
      </c>
      <c r="AJ341" s="98" t="str">
        <f t="shared" si="216"/>
        <v>1+0.232424109340091i</v>
      </c>
      <c r="AK341" s="98">
        <f t="shared" si="231"/>
        <v>1.0266552325890783</v>
      </c>
      <c r="AL341" s="98">
        <f t="shared" si="232"/>
        <v>0.22836948220757383</v>
      </c>
      <c r="AM341" s="98" t="str">
        <f t="shared" si="217"/>
        <v>1+23.4748350433491i</v>
      </c>
      <c r="AN341" s="98">
        <f t="shared" si="233"/>
        <v>23.496124793515442</v>
      </c>
      <c r="AO341" s="98">
        <f t="shared" si="234"/>
        <v>1.5282232578152697</v>
      </c>
      <c r="AP341" s="168" t="str">
        <f t="shared" si="235"/>
        <v>-0.170131765632954+0.0472580359287877i</v>
      </c>
      <c r="AQ341" s="98">
        <f t="shared" si="236"/>
        <v>-15.061498022128649</v>
      </c>
      <c r="AR341" s="169">
        <f t="shared" si="237"/>
        <v>164.47613532646608</v>
      </c>
      <c r="AS341" s="168" t="e">
        <f t="shared" si="238"/>
        <v>#DIV/0!</v>
      </c>
      <c r="AT341" s="190" t="e">
        <f t="shared" si="239"/>
        <v>#DIV/0!</v>
      </c>
      <c r="AU341" s="169" t="e">
        <f t="shared" si="240"/>
        <v>#DIV/0!</v>
      </c>
      <c r="AV341" s="225"/>
      <c r="AX341" t="e">
        <f t="shared" si="241"/>
        <v>#DIV/0!</v>
      </c>
      <c r="AY341" t="e">
        <f t="shared" si="242"/>
        <v>#DIV/0!</v>
      </c>
    </row>
    <row r="342" spans="14:51" x14ac:dyDescent="0.25">
      <c r="N342" s="170">
        <v>24</v>
      </c>
      <c r="O342" s="199">
        <f t="shared" si="208"/>
        <v>17378.008287493791</v>
      </c>
      <c r="P342" s="189" t="str">
        <f t="shared" si="209"/>
        <v>290</v>
      </c>
      <c r="Q342" s="160" t="e">
        <f t="shared" si="210"/>
        <v>#DIV/0!</v>
      </c>
      <c r="R342" s="160" t="e">
        <f t="shared" si="218"/>
        <v>#DIV/0!</v>
      </c>
      <c r="S342" s="160" t="e">
        <f t="shared" si="219"/>
        <v>#DIV/0!</v>
      </c>
      <c r="T342" s="160" t="e">
        <f t="shared" si="211"/>
        <v>#DIV/0!</v>
      </c>
      <c r="U342" s="160" t="e">
        <f t="shared" si="220"/>
        <v>#DIV/0!</v>
      </c>
      <c r="V342" s="160" t="e">
        <f t="shared" si="221"/>
        <v>#DIV/0!</v>
      </c>
      <c r="W342" s="98" t="str">
        <f t="shared" si="212"/>
        <v>1-0.870101806772085i</v>
      </c>
      <c r="X342" s="160">
        <f t="shared" si="222"/>
        <v>1.3255478694291076</v>
      </c>
      <c r="Y342" s="160">
        <f t="shared" si="223"/>
        <v>-0.71604905831735899</v>
      </c>
      <c r="Z342" s="98" t="str">
        <f t="shared" si="213"/>
        <v>0.993760430329748+0.10332243828247i</v>
      </c>
      <c r="AA342" s="160">
        <f t="shared" si="224"/>
        <v>0.99911726996474282</v>
      </c>
      <c r="AB342" s="160">
        <f t="shared" si="225"/>
        <v>0.10359894202600317</v>
      </c>
      <c r="AC342" s="171" t="e">
        <f t="shared" si="226"/>
        <v>#DIV/0!</v>
      </c>
      <c r="AD342" s="190" t="e">
        <f t="shared" si="227"/>
        <v>#DIV/0!</v>
      </c>
      <c r="AE342" s="169" t="e">
        <f t="shared" si="228"/>
        <v>#DIV/0!</v>
      </c>
      <c r="AF342" s="98" t="str">
        <f t="shared" si="214"/>
        <v>-0.0000182926829268293</v>
      </c>
      <c r="AG342" s="98" t="str">
        <f t="shared" si="215"/>
        <v>0.00242618505367538i</v>
      </c>
      <c r="AH342" s="98">
        <f t="shared" si="229"/>
        <v>2.4261850536753801E-3</v>
      </c>
      <c r="AI342" s="98">
        <f t="shared" si="230"/>
        <v>1.5707963267948966</v>
      </c>
      <c r="AJ342" s="98" t="str">
        <f t="shared" si="216"/>
        <v>1+0.237837962324809i</v>
      </c>
      <c r="AK342" s="98">
        <f t="shared" si="231"/>
        <v>1.0278943994023984</v>
      </c>
      <c r="AL342" s="98">
        <f t="shared" si="232"/>
        <v>0.23349969333654411</v>
      </c>
      <c r="AM342" s="98" t="str">
        <f t="shared" si="217"/>
        <v>1+24.0216341948057i</v>
      </c>
      <c r="AN342" s="98">
        <f t="shared" si="233"/>
        <v>24.042439755338027</v>
      </c>
      <c r="AO342" s="98">
        <f t="shared" si="234"/>
        <v>1.5291912082586949</v>
      </c>
      <c r="AP342" s="168" t="str">
        <f t="shared" si="235"/>
        <v>-0.169721811923447+0.0479059798025703i</v>
      </c>
      <c r="AQ342" s="98">
        <f t="shared" si="236"/>
        <v>-15.072329591488707</v>
      </c>
      <c r="AR342" s="169">
        <f t="shared" si="237"/>
        <v>164.23765535595109</v>
      </c>
      <c r="AS342" s="168" t="e">
        <f t="shared" si="238"/>
        <v>#DIV/0!</v>
      </c>
      <c r="AT342" s="190" t="e">
        <f t="shared" si="239"/>
        <v>#DIV/0!</v>
      </c>
      <c r="AU342" s="169" t="e">
        <f t="shared" si="240"/>
        <v>#DIV/0!</v>
      </c>
      <c r="AV342" s="225"/>
      <c r="AX342" t="e">
        <f t="shared" si="241"/>
        <v>#DIV/0!</v>
      </c>
      <c r="AY342" t="e">
        <f t="shared" si="242"/>
        <v>#DIV/0!</v>
      </c>
    </row>
    <row r="343" spans="14:51" x14ac:dyDescent="0.25">
      <c r="N343" s="170">
        <v>25</v>
      </c>
      <c r="O343" s="199">
        <f t="shared" si="208"/>
        <v>17782.794100389234</v>
      </c>
      <c r="P343" s="189" t="str">
        <f t="shared" si="209"/>
        <v>290</v>
      </c>
      <c r="Q343" s="160" t="e">
        <f t="shared" si="210"/>
        <v>#DIV/0!</v>
      </c>
      <c r="R343" s="160" t="e">
        <f t="shared" si="218"/>
        <v>#DIV/0!</v>
      </c>
      <c r="S343" s="160" t="e">
        <f t="shared" si="219"/>
        <v>#DIV/0!</v>
      </c>
      <c r="T343" s="160" t="e">
        <f t="shared" si="211"/>
        <v>#DIV/0!</v>
      </c>
      <c r="U343" s="160" t="e">
        <f t="shared" si="220"/>
        <v>#DIV/0!</v>
      </c>
      <c r="V343" s="160" t="e">
        <f t="shared" si="221"/>
        <v>#DIV/0!</v>
      </c>
      <c r="W343" s="98" t="str">
        <f t="shared" si="212"/>
        <v>1-0.890369081440692i</v>
      </c>
      <c r="X343" s="160">
        <f t="shared" si="222"/>
        <v>1.3389387966541046</v>
      </c>
      <c r="Y343" s="160">
        <f t="shared" si="223"/>
        <v>-0.72746859938399688</v>
      </c>
      <c r="Z343" s="98" t="str">
        <f t="shared" si="213"/>
        <v>0.993466368470727+0.105729127039812i</v>
      </c>
      <c r="AA343" s="160">
        <f t="shared" si="224"/>
        <v>0.99907661046939489</v>
      </c>
      <c r="AB343" s="160">
        <f t="shared" si="225"/>
        <v>0.10602538010562584</v>
      </c>
      <c r="AC343" s="171" t="e">
        <f t="shared" si="226"/>
        <v>#DIV/0!</v>
      </c>
      <c r="AD343" s="190" t="e">
        <f t="shared" si="227"/>
        <v>#DIV/0!</v>
      </c>
      <c r="AE343" s="169" t="e">
        <f t="shared" si="228"/>
        <v>#DIV/0!</v>
      </c>
      <c r="AF343" s="98" t="str">
        <f t="shared" si="214"/>
        <v>-0.0000182926829268293</v>
      </c>
      <c r="AG343" s="98" t="str">
        <f t="shared" si="215"/>
        <v>0.00248269816340232i</v>
      </c>
      <c r="AH343" s="98">
        <f t="shared" si="229"/>
        <v>2.4826981634023201E-3</v>
      </c>
      <c r="AI343" s="98">
        <f t="shared" si="230"/>
        <v>1.5707963267948966</v>
      </c>
      <c r="AJ343" s="98" t="str">
        <f t="shared" si="216"/>
        <v>1+0.24337792014531i</v>
      </c>
      <c r="AK343" s="98">
        <f t="shared" si="231"/>
        <v>1.0291903672374012</v>
      </c>
      <c r="AL343" s="98">
        <f t="shared" si="232"/>
        <v>0.23873647214654858</v>
      </c>
      <c r="AM343" s="98" t="str">
        <f t="shared" si="217"/>
        <v>1+24.5811699346763i</v>
      </c>
      <c r="AN343" s="98">
        <f t="shared" si="233"/>
        <v>24.60150229879131</v>
      </c>
      <c r="AO343" s="98">
        <f t="shared" si="234"/>
        <v>1.5301372008430767</v>
      </c>
      <c r="AP343" s="168" t="str">
        <f t="shared" si="235"/>
        <v>-0.169294649890271+0.0485706453795581i</v>
      </c>
      <c r="AQ343" s="98">
        <f t="shared" si="236"/>
        <v>-15.083612015958272</v>
      </c>
      <c r="AR343" s="169">
        <f t="shared" si="237"/>
        <v>163.99181141443012</v>
      </c>
      <c r="AS343" s="168" t="e">
        <f t="shared" si="238"/>
        <v>#DIV/0!</v>
      </c>
      <c r="AT343" s="190" t="e">
        <f t="shared" si="239"/>
        <v>#DIV/0!</v>
      </c>
      <c r="AU343" s="169" t="e">
        <f t="shared" si="240"/>
        <v>#DIV/0!</v>
      </c>
      <c r="AV343" s="225"/>
      <c r="AX343" t="e">
        <f t="shared" si="241"/>
        <v>#DIV/0!</v>
      </c>
      <c r="AY343" t="e">
        <f t="shared" si="242"/>
        <v>#DIV/0!</v>
      </c>
    </row>
    <row r="344" spans="14:51" x14ac:dyDescent="0.25">
      <c r="N344" s="170">
        <v>26</v>
      </c>
      <c r="O344" s="199">
        <f t="shared" si="208"/>
        <v>18197.008586099837</v>
      </c>
      <c r="P344" s="189" t="str">
        <f t="shared" si="209"/>
        <v>290</v>
      </c>
      <c r="Q344" s="160" t="e">
        <f t="shared" si="210"/>
        <v>#DIV/0!</v>
      </c>
      <c r="R344" s="160" t="e">
        <f t="shared" si="218"/>
        <v>#DIV/0!</v>
      </c>
      <c r="S344" s="160" t="e">
        <f t="shared" si="219"/>
        <v>#DIV/0!</v>
      </c>
      <c r="T344" s="160" t="e">
        <f t="shared" si="211"/>
        <v>#DIV/0!</v>
      </c>
      <c r="U344" s="160" t="e">
        <f t="shared" si="220"/>
        <v>#DIV/0!</v>
      </c>
      <c r="V344" s="160" t="e">
        <f t="shared" si="221"/>
        <v>#DIV/0!</v>
      </c>
      <c r="W344" s="98" t="str">
        <f t="shared" si="212"/>
        <v>1-0.911108441581714i</v>
      </c>
      <c r="X344" s="160">
        <f t="shared" si="222"/>
        <v>1.3528187581200446</v>
      </c>
      <c r="Y344" s="160">
        <f t="shared" si="223"/>
        <v>-0.73891857338367861</v>
      </c>
      <c r="Z344" s="98" t="str">
        <f t="shared" si="213"/>
        <v>0.993158447903252+0.108191874779801i</v>
      </c>
      <c r="AA344" s="160">
        <f t="shared" si="224"/>
        <v>0.99903412574844763</v>
      </c>
      <c r="AB344" s="160">
        <f t="shared" si="225"/>
        <v>0.10850928642039878</v>
      </c>
      <c r="AC344" s="171" t="e">
        <f t="shared" si="226"/>
        <v>#DIV/0!</v>
      </c>
      <c r="AD344" s="190" t="e">
        <f t="shared" si="227"/>
        <v>#DIV/0!</v>
      </c>
      <c r="AE344" s="169" t="e">
        <f t="shared" si="228"/>
        <v>#DIV/0!</v>
      </c>
      <c r="AF344" s="98" t="str">
        <f t="shared" si="214"/>
        <v>-0.0000182926829268293</v>
      </c>
      <c r="AG344" s="98" t="str">
        <f t="shared" si="215"/>
        <v>0.00254052763255789i</v>
      </c>
      <c r="AH344" s="98">
        <f t="shared" si="229"/>
        <v>2.5405276325578901E-3</v>
      </c>
      <c r="AI344" s="98">
        <f t="shared" si="230"/>
        <v>1.5707963267948966</v>
      </c>
      <c r="AJ344" s="98" t="str">
        <f t="shared" si="216"/>
        <v>1+0.249046920160561i</v>
      </c>
      <c r="AK344" s="98">
        <f t="shared" si="231"/>
        <v>1.0305456653838589</v>
      </c>
      <c r="AL344" s="98">
        <f t="shared" si="232"/>
        <v>0.24408144584345487</v>
      </c>
      <c r="AM344" s="98" t="str">
        <f t="shared" si="217"/>
        <v>1+25.1537389362166i</v>
      </c>
      <c r="AN344" s="98">
        <f t="shared" si="233"/>
        <v>25.173608848779292</v>
      </c>
      <c r="AO344" s="98">
        <f t="shared" si="234"/>
        <v>1.5310617303697798</v>
      </c>
      <c r="AP344" s="168" t="str">
        <f t="shared" si="235"/>
        <v>-0.168849654858108+0.0492518344609413i</v>
      </c>
      <c r="AQ344" s="98">
        <f t="shared" si="236"/>
        <v>-15.095365548840611</v>
      </c>
      <c r="AR344" s="169">
        <f t="shared" si="237"/>
        <v>163.73853861990423</v>
      </c>
      <c r="AS344" s="168" t="e">
        <f t="shared" si="238"/>
        <v>#DIV/0!</v>
      </c>
      <c r="AT344" s="190" t="e">
        <f t="shared" si="239"/>
        <v>#DIV/0!</v>
      </c>
      <c r="AU344" s="169" t="e">
        <f t="shared" si="240"/>
        <v>#DIV/0!</v>
      </c>
      <c r="AV344" s="225"/>
      <c r="AX344" t="e">
        <f t="shared" si="241"/>
        <v>#DIV/0!</v>
      </c>
      <c r="AY344" t="e">
        <f t="shared" si="242"/>
        <v>#DIV/0!</v>
      </c>
    </row>
    <row r="345" spans="14:51" x14ac:dyDescent="0.25">
      <c r="N345" s="170">
        <v>27</v>
      </c>
      <c r="O345" s="199">
        <f t="shared" si="208"/>
        <v>18620.871366628675</v>
      </c>
      <c r="P345" s="189" t="str">
        <f t="shared" si="209"/>
        <v>290</v>
      </c>
      <c r="Q345" s="160" t="e">
        <f t="shared" si="210"/>
        <v>#DIV/0!</v>
      </c>
      <c r="R345" s="160" t="e">
        <f t="shared" si="218"/>
        <v>#DIV/0!</v>
      </c>
      <c r="S345" s="160" t="e">
        <f t="shared" si="219"/>
        <v>#DIV/0!</v>
      </c>
      <c r="T345" s="160" t="e">
        <f t="shared" si="211"/>
        <v>#DIV/0!</v>
      </c>
      <c r="U345" s="160" t="e">
        <f t="shared" si="220"/>
        <v>#DIV/0!</v>
      </c>
      <c r="V345" s="160" t="e">
        <f t="shared" si="221"/>
        <v>#DIV/0!</v>
      </c>
      <c r="W345" s="98" t="str">
        <f t="shared" si="212"/>
        <v>1-0.932330883478406i</v>
      </c>
      <c r="X345" s="160">
        <f t="shared" si="222"/>
        <v>1.3672018418242513</v>
      </c>
      <c r="Y345" s="160">
        <f t="shared" si="223"/>
        <v>-0.75039304331116874</v>
      </c>
      <c r="Z345" s="98" t="str">
        <f t="shared" si="213"/>
        <v>0.992836015486518+0.110711987283888i</v>
      </c>
      <c r="AA345" s="160">
        <f t="shared" si="224"/>
        <v>0.99898973857367179</v>
      </c>
      <c r="AB345" s="160">
        <f t="shared" si="225"/>
        <v>0.1110520671444009</v>
      </c>
      <c r="AC345" s="171" t="e">
        <f t="shared" si="226"/>
        <v>#DIV/0!</v>
      </c>
      <c r="AD345" s="190" t="e">
        <f t="shared" si="227"/>
        <v>#DIV/0!</v>
      </c>
      <c r="AE345" s="169" t="e">
        <f t="shared" si="228"/>
        <v>#DIV/0!</v>
      </c>
      <c r="AF345" s="98" t="str">
        <f t="shared" si="214"/>
        <v>-0.0000182926829268293</v>
      </c>
      <c r="AG345" s="98" t="str">
        <f t="shared" si="215"/>
        <v>0.0025997041230921i</v>
      </c>
      <c r="AH345" s="98">
        <f t="shared" si="229"/>
        <v>2.5997041230920999E-3</v>
      </c>
      <c r="AI345" s="98">
        <f t="shared" si="230"/>
        <v>1.5707963267948966</v>
      </c>
      <c r="AJ345" s="98" t="str">
        <f t="shared" si="216"/>
        <v>1+0.254847968149406i</v>
      </c>
      <c r="AK345" s="98">
        <f t="shared" si="231"/>
        <v>1.0319629290191972</v>
      </c>
      <c r="AL345" s="98">
        <f t="shared" si="232"/>
        <v>0.24953622628241487</v>
      </c>
      <c r="AM345" s="98" t="str">
        <f t="shared" si="217"/>
        <v>1+25.73964478309i</v>
      </c>
      <c r="AN345" s="98">
        <f t="shared" si="233"/>
        <v>25.759062746141446</v>
      </c>
      <c r="AO345" s="98">
        <f t="shared" si="234"/>
        <v>1.5319652807110229</v>
      </c>
      <c r="AP345" s="168" t="str">
        <f t="shared" si="235"/>
        <v>-0.168386188308036+0.0499493259736924i</v>
      </c>
      <c r="AQ345" s="98">
        <f t="shared" si="236"/>
        <v>-15.10761111599874</v>
      </c>
      <c r="AR345" s="169">
        <f t="shared" si="237"/>
        <v>163.47777234371213</v>
      </c>
      <c r="AS345" s="168" t="e">
        <f t="shared" si="238"/>
        <v>#DIV/0!</v>
      </c>
      <c r="AT345" s="190" t="e">
        <f t="shared" si="239"/>
        <v>#DIV/0!</v>
      </c>
      <c r="AU345" s="169" t="e">
        <f t="shared" si="240"/>
        <v>#DIV/0!</v>
      </c>
      <c r="AV345" s="225"/>
      <c r="AX345" t="e">
        <f t="shared" si="241"/>
        <v>#DIV/0!</v>
      </c>
      <c r="AY345" t="e">
        <f t="shared" si="242"/>
        <v>#DIV/0!</v>
      </c>
    </row>
    <row r="346" spans="14:51" x14ac:dyDescent="0.25">
      <c r="N346" s="170">
        <v>28</v>
      </c>
      <c r="O346" s="199">
        <f t="shared" si="208"/>
        <v>19054.607179632505</v>
      </c>
      <c r="P346" s="189" t="str">
        <f t="shared" si="209"/>
        <v>290</v>
      </c>
      <c r="Q346" s="160" t="e">
        <f t="shared" si="210"/>
        <v>#DIV/0!</v>
      </c>
      <c r="R346" s="160" t="e">
        <f t="shared" si="218"/>
        <v>#DIV/0!</v>
      </c>
      <c r="S346" s="160" t="e">
        <f t="shared" si="219"/>
        <v>#DIV/0!</v>
      </c>
      <c r="T346" s="160" t="e">
        <f t="shared" si="211"/>
        <v>#DIV/0!</v>
      </c>
      <c r="U346" s="160" t="e">
        <f t="shared" si="220"/>
        <v>#DIV/0!</v>
      </c>
      <c r="V346" s="160" t="e">
        <f t="shared" si="221"/>
        <v>#DIV/0!</v>
      </c>
      <c r="W346" s="98" t="str">
        <f t="shared" si="212"/>
        <v>1-0.954047659550385i</v>
      </c>
      <c r="X346" s="160">
        <f t="shared" si="222"/>
        <v>1.3821023611489733</v>
      </c>
      <c r="Y346" s="160">
        <f t="shared" si="223"/>
        <v>-0.76188600794937034</v>
      </c>
      <c r="Z346" s="98" t="str">
        <f t="shared" si="213"/>
        <v>0.992498387298138+0.113290800749079i</v>
      </c>
      <c r="AA346" s="160">
        <f t="shared" si="224"/>
        <v>0.9989433689272742</v>
      </c>
      <c r="AB346" s="160">
        <f t="shared" si="225"/>
        <v>0.11365516599806412</v>
      </c>
      <c r="AC346" s="171" t="e">
        <f t="shared" si="226"/>
        <v>#DIV/0!</v>
      </c>
      <c r="AD346" s="190" t="e">
        <f t="shared" si="227"/>
        <v>#DIV/0!</v>
      </c>
      <c r="AE346" s="169" t="e">
        <f t="shared" si="228"/>
        <v>#DIV/0!</v>
      </c>
      <c r="AF346" s="98" t="str">
        <f t="shared" si="214"/>
        <v>-0.0000182926829268293</v>
      </c>
      <c r="AG346" s="98" t="str">
        <f t="shared" si="215"/>
        <v>0.00266025901116354i</v>
      </c>
      <c r="AH346" s="98">
        <f t="shared" si="229"/>
        <v>2.66025901116354E-3</v>
      </c>
      <c r="AI346" s="98">
        <f t="shared" si="230"/>
        <v>1.5707963267948966</v>
      </c>
      <c r="AJ346" s="98" t="str">
        <f t="shared" si="216"/>
        <v>1+0.260784139904278i</v>
      </c>
      <c r="AK346" s="98">
        <f t="shared" si="231"/>
        <v>1.0334449030430282</v>
      </c>
      <c r="AL346" s="98">
        <f t="shared" si="232"/>
        <v>0.25510240666781514</v>
      </c>
      <c r="AM346" s="98" t="str">
        <f t="shared" si="217"/>
        <v>1+26.3391981303321i</v>
      </c>
      <c r="AN346" s="98">
        <f t="shared" si="233"/>
        <v>26.358174408499728</v>
      </c>
      <c r="AO346" s="98">
        <f t="shared" si="234"/>
        <v>1.5328483250364997</v>
      </c>
      <c r="AP346" s="168" t="str">
        <f t="shared" si="235"/>
        <v>-0.167903598415535+0.050662874407083i</v>
      </c>
      <c r="AQ346" s="98">
        <f t="shared" si="236"/>
        <v>-15.120370332422425</v>
      </c>
      <c r="AR346" s="169">
        <f t="shared" si="237"/>
        <v>163.20944841259305</v>
      </c>
      <c r="AS346" s="168" t="e">
        <f t="shared" si="238"/>
        <v>#DIV/0!</v>
      </c>
      <c r="AT346" s="190" t="e">
        <f t="shared" si="239"/>
        <v>#DIV/0!</v>
      </c>
      <c r="AU346" s="169" t="e">
        <f t="shared" si="240"/>
        <v>#DIV/0!</v>
      </c>
      <c r="AV346" s="225"/>
      <c r="AX346" t="e">
        <f t="shared" si="241"/>
        <v>#DIV/0!</v>
      </c>
      <c r="AY346" t="e">
        <f t="shared" si="242"/>
        <v>#DIV/0!</v>
      </c>
    </row>
    <row r="347" spans="14:51" x14ac:dyDescent="0.25">
      <c r="N347" s="170">
        <v>29</v>
      </c>
      <c r="O347" s="199">
        <f t="shared" si="208"/>
        <v>19498.445997580486</v>
      </c>
      <c r="P347" s="189" t="str">
        <f t="shared" si="209"/>
        <v>290</v>
      </c>
      <c r="Q347" s="160" t="e">
        <f t="shared" si="210"/>
        <v>#DIV/0!</v>
      </c>
      <c r="R347" s="160" t="e">
        <f t="shared" si="218"/>
        <v>#DIV/0!</v>
      </c>
      <c r="S347" s="160" t="e">
        <f t="shared" si="219"/>
        <v>#DIV/0!</v>
      </c>
      <c r="T347" s="160" t="e">
        <f t="shared" si="211"/>
        <v>#DIV/0!</v>
      </c>
      <c r="U347" s="160" t="e">
        <f t="shared" si="220"/>
        <v>#DIV/0!</v>
      </c>
      <c r="V347" s="160" t="e">
        <f t="shared" si="221"/>
        <v>#DIV/0!</v>
      </c>
      <c r="W347" s="98" t="str">
        <f t="shared" si="212"/>
        <v>1-0.976270284319758i</v>
      </c>
      <c r="X347" s="160">
        <f t="shared" si="222"/>
        <v>1.3975348539645733</v>
      </c>
      <c r="Y347" s="160">
        <f t="shared" si="223"/>
        <v>-0.77339141738189043</v>
      </c>
      <c r="Z347" s="98" t="str">
        <f t="shared" si="213"/>
        <v>0.99214484718346+0.115929682496407i</v>
      </c>
      <c r="AA347" s="160">
        <f t="shared" si="224"/>
        <v>0.99889493395272</v>
      </c>
      <c r="AB347" s="160">
        <f t="shared" si="225"/>
        <v>0.11632006546047596</v>
      </c>
      <c r="AC347" s="171" t="e">
        <f t="shared" si="226"/>
        <v>#DIV/0!</v>
      </c>
      <c r="AD347" s="190" t="e">
        <f t="shared" si="227"/>
        <v>#DIV/0!</v>
      </c>
      <c r="AE347" s="169" t="e">
        <f t="shared" si="228"/>
        <v>#DIV/0!</v>
      </c>
      <c r="AF347" s="98" t="str">
        <f t="shared" si="214"/>
        <v>-0.0000182926829268293</v>
      </c>
      <c r="AG347" s="98" t="str">
        <f t="shared" si="215"/>
        <v>0.00272222440377537i</v>
      </c>
      <c r="AH347" s="98">
        <f t="shared" si="229"/>
        <v>2.72222440377537E-3</v>
      </c>
      <c r="AI347" s="98">
        <f t="shared" si="230"/>
        <v>1.5707963267948966</v>
      </c>
      <c r="AJ347" s="98" t="str">
        <f t="shared" si="216"/>
        <v>1+0.26685858286201i</v>
      </c>
      <c r="AK347" s="98">
        <f t="shared" si="231"/>
        <v>1.0349944459981997</v>
      </c>
      <c r="AL347" s="98">
        <f t="shared" si="232"/>
        <v>0.26078155805603487</v>
      </c>
      <c r="AM347" s="98" t="str">
        <f t="shared" si="217"/>
        <v>1+26.952716869063i</v>
      </c>
      <c r="AN347" s="98">
        <f t="shared" si="233"/>
        <v>26.971261494855469</v>
      </c>
      <c r="AO347" s="98">
        <f t="shared" si="234"/>
        <v>1.5337113260363036</v>
      </c>
      <c r="AP347" s="168" t="str">
        <f t="shared" si="235"/>
        <v>-0.167401220689125+0.0513922082125082i</v>
      </c>
      <c r="AQ347" s="98">
        <f t="shared" si="236"/>
        <v>-15.133665518077377</v>
      </c>
      <c r="AR347" s="169">
        <f t="shared" si="237"/>
        <v>162.93350332183653</v>
      </c>
      <c r="AS347" s="168" t="e">
        <f t="shared" si="238"/>
        <v>#DIV/0!</v>
      </c>
      <c r="AT347" s="190" t="e">
        <f t="shared" si="239"/>
        <v>#DIV/0!</v>
      </c>
      <c r="AU347" s="169" t="e">
        <f t="shared" si="240"/>
        <v>#DIV/0!</v>
      </c>
      <c r="AV347" s="225"/>
      <c r="AX347" t="e">
        <f t="shared" si="241"/>
        <v>#DIV/0!</v>
      </c>
      <c r="AY347" t="e">
        <f t="shared" si="242"/>
        <v>#DIV/0!</v>
      </c>
    </row>
    <row r="348" spans="14:51" x14ac:dyDescent="0.25">
      <c r="N348" s="170">
        <v>30</v>
      </c>
      <c r="O348" s="199">
        <f t="shared" si="208"/>
        <v>19952.623149688792</v>
      </c>
      <c r="P348" s="189" t="str">
        <f t="shared" si="209"/>
        <v>290</v>
      </c>
      <c r="Q348" s="160" t="e">
        <f t="shared" si="210"/>
        <v>#DIV/0!</v>
      </c>
      <c r="R348" s="160" t="e">
        <f t="shared" si="218"/>
        <v>#DIV/0!</v>
      </c>
      <c r="S348" s="160" t="e">
        <f t="shared" si="219"/>
        <v>#DIV/0!</v>
      </c>
      <c r="T348" s="160" t="e">
        <f t="shared" si="211"/>
        <v>#DIV/0!</v>
      </c>
      <c r="U348" s="160" t="e">
        <f t="shared" si="220"/>
        <v>#DIV/0!</v>
      </c>
      <c r="V348" s="160" t="e">
        <f t="shared" si="221"/>
        <v>#DIV/0!</v>
      </c>
      <c r="W348" s="98" t="str">
        <f t="shared" si="212"/>
        <v>1-0.999010540516349i</v>
      </c>
      <c r="X348" s="160">
        <f t="shared" si="222"/>
        <v>1.4135140820178509</v>
      </c>
      <c r="Y348" s="160">
        <f t="shared" si="223"/>
        <v>-0.78490318881737953</v>
      </c>
      <c r="Z348" s="98" t="str">
        <f t="shared" si="213"/>
        <v>0.991774645236498+0.118630031695906i</v>
      </c>
      <c r="AA348" s="160">
        <f t="shared" si="224"/>
        <v>0.99884434791120136</v>
      </c>
      <c r="AB348" s="160">
        <f t="shared" si="225"/>
        <v>0.11904828803344143</v>
      </c>
      <c r="AC348" s="171" t="e">
        <f t="shared" si="226"/>
        <v>#DIV/0!</v>
      </c>
      <c r="AD348" s="190" t="e">
        <f t="shared" si="227"/>
        <v>#DIV/0!</v>
      </c>
      <c r="AE348" s="169" t="e">
        <f t="shared" si="228"/>
        <v>#DIV/0!</v>
      </c>
      <c r="AF348" s="98" t="str">
        <f t="shared" si="214"/>
        <v>-0.0000182926829268293</v>
      </c>
      <c r="AG348" s="98" t="str">
        <f t="shared" si="215"/>
        <v>0.00278563315579899i</v>
      </c>
      <c r="AH348" s="98">
        <f t="shared" si="229"/>
        <v>2.7856331557989901E-3</v>
      </c>
      <c r="AI348" s="98">
        <f t="shared" si="230"/>
        <v>1.5707963267948966</v>
      </c>
      <c r="AJ348" s="98" t="str">
        <f t="shared" si="216"/>
        <v>1+0.273074517772669i</v>
      </c>
      <c r="AK348" s="98">
        <f t="shared" si="231"/>
        <v>1.0366145340756012</v>
      </c>
      <c r="AL348" s="98">
        <f t="shared" si="232"/>
        <v>0.26657522565648412</v>
      </c>
      <c r="AM348" s="98" t="str">
        <f t="shared" si="217"/>
        <v>1+27.5805262950395i</v>
      </c>
      <c r="AN348" s="98">
        <f t="shared" si="233"/>
        <v>27.598649074028341</v>
      </c>
      <c r="AO348" s="98">
        <f t="shared" si="234"/>
        <v>1.5345547361401504</v>
      </c>
      <c r="AP348" s="168" t="str">
        <f t="shared" si="235"/>
        <v>-0.166878378717005+0.0521370281708655i</v>
      </c>
      <c r="AQ348" s="98">
        <f t="shared" si="236"/>
        <v>-15.147519712922996</v>
      </c>
      <c r="AR348" s="169">
        <f t="shared" si="237"/>
        <v>162.6498744597782</v>
      </c>
      <c r="AS348" s="168" t="e">
        <f t="shared" si="238"/>
        <v>#DIV/0!</v>
      </c>
      <c r="AT348" s="190" t="e">
        <f t="shared" si="239"/>
        <v>#DIV/0!</v>
      </c>
      <c r="AU348" s="169" t="e">
        <f t="shared" si="240"/>
        <v>#DIV/0!</v>
      </c>
      <c r="AV348" s="225"/>
      <c r="AX348" t="e">
        <f t="shared" si="241"/>
        <v>#DIV/0!</v>
      </c>
      <c r="AY348" t="e">
        <f t="shared" si="242"/>
        <v>#DIV/0!</v>
      </c>
    </row>
    <row r="349" spans="14:51" x14ac:dyDescent="0.25">
      <c r="N349" s="170">
        <v>31</v>
      </c>
      <c r="O349" s="199">
        <f t="shared" si="208"/>
        <v>20417.379446695286</v>
      </c>
      <c r="P349" s="189" t="str">
        <f t="shared" si="209"/>
        <v>290</v>
      </c>
      <c r="Q349" s="160" t="e">
        <f t="shared" si="210"/>
        <v>#DIV/0!</v>
      </c>
      <c r="R349" s="160" t="e">
        <f t="shared" si="218"/>
        <v>#DIV/0!</v>
      </c>
      <c r="S349" s="160" t="e">
        <f t="shared" si="219"/>
        <v>#DIV/0!</v>
      </c>
      <c r="T349" s="160" t="e">
        <f t="shared" si="211"/>
        <v>#DIV/0!</v>
      </c>
      <c r="U349" s="160" t="e">
        <f t="shared" si="220"/>
        <v>#DIV/0!</v>
      </c>
      <c r="V349" s="160" t="e">
        <f t="shared" si="221"/>
        <v>#DIV/0!</v>
      </c>
      <c r="W349" s="98" t="str">
        <f t="shared" si="212"/>
        <v>1-1.02228048532499i</v>
      </c>
      <c r="X349" s="160">
        <f t="shared" si="222"/>
        <v>1.4300550306461277</v>
      </c>
      <c r="Y349" s="160">
        <f t="shared" si="223"/>
        <v>-0.79641522262521491</v>
      </c>
      <c r="Z349" s="98" t="str">
        <f t="shared" si="213"/>
        <v>0.991386996209291+0.121393280108464i</v>
      </c>
      <c r="AA349" s="160">
        <f t="shared" si="224"/>
        <v>0.99879152214482325</v>
      </c>
      <c r="AB349" s="160">
        <f t="shared" si="225"/>
        <v>0.12184139756009912</v>
      </c>
      <c r="AC349" s="171" t="e">
        <f t="shared" si="226"/>
        <v>#DIV/0!</v>
      </c>
      <c r="AD349" s="190" t="e">
        <f t="shared" si="227"/>
        <v>#DIV/0!</v>
      </c>
      <c r="AE349" s="169" t="e">
        <f t="shared" si="228"/>
        <v>#DIV/0!</v>
      </c>
      <c r="AF349" s="98" t="str">
        <f t="shared" si="214"/>
        <v>-0.0000182926829268293</v>
      </c>
      <c r="AG349" s="98" t="str">
        <f t="shared" si="215"/>
        <v>0.00285051888739403i</v>
      </c>
      <c r="AH349" s="98">
        <f t="shared" si="229"/>
        <v>2.85051888739403E-3</v>
      </c>
      <c r="AI349" s="98">
        <f t="shared" si="230"/>
        <v>1.5707963267948966</v>
      </c>
      <c r="AJ349" s="98" t="str">
        <f t="shared" si="216"/>
        <v>1+0.279435240407217i</v>
      </c>
      <c r="AK349" s="98">
        <f t="shared" si="231"/>
        <v>1.0383082651994249</v>
      </c>
      <c r="AL349" s="98">
        <f t="shared" si="232"/>
        <v>0.27248492492685877</v>
      </c>
      <c r="AM349" s="98" t="str">
        <f t="shared" si="217"/>
        <v>1+28.2229592811289i</v>
      </c>
      <c r="AN349" s="98">
        <f t="shared" si="233"/>
        <v>28.240669797018978</v>
      </c>
      <c r="AO349" s="98">
        <f t="shared" si="234"/>
        <v>1.5353789977328858</v>
      </c>
      <c r="AP349" s="168" t="str">
        <f t="shared" si="235"/>
        <v>-0.166334385029186+0.0528970057324788i</v>
      </c>
      <c r="AQ349" s="98">
        <f t="shared" si="236"/>
        <v>-15.161956690976972</v>
      </c>
      <c r="AR349" s="169">
        <f t="shared" si="237"/>
        <v>162.35850034387258</v>
      </c>
      <c r="AS349" s="168" t="e">
        <f t="shared" si="238"/>
        <v>#DIV/0!</v>
      </c>
      <c r="AT349" s="190" t="e">
        <f t="shared" si="239"/>
        <v>#DIV/0!</v>
      </c>
      <c r="AU349" s="169" t="e">
        <f t="shared" si="240"/>
        <v>#DIV/0!</v>
      </c>
      <c r="AV349" s="225"/>
      <c r="AX349" t="e">
        <f t="shared" si="241"/>
        <v>#DIV/0!</v>
      </c>
      <c r="AY349" t="e">
        <f t="shared" si="242"/>
        <v>#DIV/0!</v>
      </c>
    </row>
    <row r="350" spans="14:51" x14ac:dyDescent="0.25">
      <c r="N350" s="170">
        <v>32</v>
      </c>
      <c r="O350" s="199">
        <f t="shared" si="208"/>
        <v>20892.961308540423</v>
      </c>
      <c r="P350" s="189" t="str">
        <f t="shared" si="209"/>
        <v>290</v>
      </c>
      <c r="Q350" s="160" t="e">
        <f t="shared" si="210"/>
        <v>#DIV/0!</v>
      </c>
      <c r="R350" s="160" t="e">
        <f t="shared" si="218"/>
        <v>#DIV/0!</v>
      </c>
      <c r="S350" s="160" t="e">
        <f t="shared" si="219"/>
        <v>#DIV/0!</v>
      </c>
      <c r="T350" s="160" t="e">
        <f t="shared" si="211"/>
        <v>#DIV/0!</v>
      </c>
      <c r="U350" s="160" t="e">
        <f t="shared" si="220"/>
        <v>#DIV/0!</v>
      </c>
      <c r="V350" s="160" t="e">
        <f t="shared" si="221"/>
        <v>#DIV/0!</v>
      </c>
      <c r="W350" s="98" t="str">
        <f t="shared" si="212"/>
        <v>1-1.04609245677843i</v>
      </c>
      <c r="X350" s="160">
        <f t="shared" si="222"/>
        <v>1.4471729088566894</v>
      </c>
      <c r="Y350" s="160">
        <f t="shared" si="223"/>
        <v>-0.80792141847983645</v>
      </c>
      <c r="Z350" s="98" t="str">
        <f t="shared" si="213"/>
        <v>0.990981077846278+0.124220892844967i</v>
      </c>
      <c r="AA350" s="160">
        <f t="shared" si="224"/>
        <v>0.99873636504763941</v>
      </c>
      <c r="AB350" s="160">
        <f t="shared" si="225"/>
        <v>0.12470100060108974</v>
      </c>
      <c r="AC350" s="171" t="e">
        <f t="shared" si="226"/>
        <v>#DIV/0!</v>
      </c>
      <c r="AD350" s="190" t="e">
        <f t="shared" si="227"/>
        <v>#DIV/0!</v>
      </c>
      <c r="AE350" s="169" t="e">
        <f t="shared" si="228"/>
        <v>#DIV/0!</v>
      </c>
      <c r="AF350" s="98" t="str">
        <f t="shared" si="214"/>
        <v>-0.0000182926829268293</v>
      </c>
      <c r="AG350" s="98" t="str">
        <f t="shared" si="215"/>
        <v>0.00291691600183425i</v>
      </c>
      <c r="AH350" s="98">
        <f t="shared" si="229"/>
        <v>2.9169160018342501E-3</v>
      </c>
      <c r="AI350" s="98">
        <f t="shared" si="230"/>
        <v>1.5707963267948966</v>
      </c>
      <c r="AJ350" s="98" t="str">
        <f t="shared" si="216"/>
        <v>1+0.285944123304995i</v>
      </c>
      <c r="AK350" s="98">
        <f t="shared" si="231"/>
        <v>1.0400788631890672</v>
      </c>
      <c r="AL350" s="98">
        <f t="shared" si="232"/>
        <v>0.27851213745940889</v>
      </c>
      <c r="AM350" s="98" t="str">
        <f t="shared" si="217"/>
        <v>1+28.8803564538044i</v>
      </c>
      <c r="AN350" s="98">
        <f t="shared" si="233"/>
        <v>28.897664073395301</v>
      </c>
      <c r="AO350" s="98">
        <f t="shared" si="234"/>
        <v>1.5361845433662844</v>
      </c>
      <c r="AP350" s="168" t="str">
        <f t="shared" si="235"/>
        <v>-0.165768542082691+0.0536717813354152i</v>
      </c>
      <c r="AQ350" s="98">
        <f t="shared" si="236"/>
        <v>-15.177000973295414</v>
      </c>
      <c r="AR350" s="169">
        <f t="shared" si="237"/>
        <v>162.05932086852806</v>
      </c>
      <c r="AS350" s="168" t="e">
        <f t="shared" si="238"/>
        <v>#DIV/0!</v>
      </c>
      <c r="AT350" s="190" t="e">
        <f t="shared" si="239"/>
        <v>#DIV/0!</v>
      </c>
      <c r="AU350" s="169" t="e">
        <f t="shared" si="240"/>
        <v>#DIV/0!</v>
      </c>
      <c r="AV350" s="225"/>
      <c r="AX350" t="e">
        <f t="shared" si="241"/>
        <v>#DIV/0!</v>
      </c>
      <c r="AY350" t="e">
        <f t="shared" si="242"/>
        <v>#DIV/0!</v>
      </c>
    </row>
    <row r="351" spans="14:51" x14ac:dyDescent="0.25">
      <c r="N351" s="170">
        <v>33</v>
      </c>
      <c r="O351" s="199">
        <f t="shared" si="208"/>
        <v>21379.620895022348</v>
      </c>
      <c r="P351" s="189" t="str">
        <f t="shared" si="209"/>
        <v>290</v>
      </c>
      <c r="Q351" s="160" t="e">
        <f t="shared" si="210"/>
        <v>#DIV/0!</v>
      </c>
      <c r="R351" s="160" t="e">
        <f t="shared" si="218"/>
        <v>#DIV/0!</v>
      </c>
      <c r="S351" s="160" t="e">
        <f t="shared" si="219"/>
        <v>#DIV/0!</v>
      </c>
      <c r="T351" s="160" t="e">
        <f t="shared" si="211"/>
        <v>#DIV/0!</v>
      </c>
      <c r="U351" s="160" t="e">
        <f t="shared" si="220"/>
        <v>#DIV/0!</v>
      </c>
      <c r="V351" s="160" t="e">
        <f t="shared" si="221"/>
        <v>#DIV/0!</v>
      </c>
      <c r="W351" s="98" t="str">
        <f t="shared" si="212"/>
        <v>1-1.07045908029912i</v>
      </c>
      <c r="X351" s="160">
        <f t="shared" si="222"/>
        <v>1.464883149809171</v>
      </c>
      <c r="Y351" s="160">
        <f t="shared" si="223"/>
        <v>-0.81941569150955229</v>
      </c>
      <c r="Z351" s="98" t="str">
        <f t="shared" si="213"/>
        <v>0.990556029140188+0.127114369143113i</v>
      </c>
      <c r="AA351" s="160">
        <f t="shared" si="224"/>
        <v>0.99867878204587324</v>
      </c>
      <c r="AB351" s="160">
        <f t="shared" si="225"/>
        <v>0.12762874787140466</v>
      </c>
      <c r="AC351" s="171" t="e">
        <f t="shared" si="226"/>
        <v>#DIV/0!</v>
      </c>
      <c r="AD351" s="190" t="e">
        <f t="shared" si="227"/>
        <v>#DIV/0!</v>
      </c>
      <c r="AE351" s="169" t="e">
        <f t="shared" si="228"/>
        <v>#DIV/0!</v>
      </c>
      <c r="AF351" s="98" t="str">
        <f t="shared" si="214"/>
        <v>-0.0000182926829268293</v>
      </c>
      <c r="AG351" s="98" t="str">
        <f t="shared" si="215"/>
        <v>0.00298485970374858i</v>
      </c>
      <c r="AH351" s="98">
        <f t="shared" si="229"/>
        <v>2.9848597037485801E-3</v>
      </c>
      <c r="AI351" s="98">
        <f t="shared" si="230"/>
        <v>1.5707963267948966</v>
      </c>
      <c r="AJ351" s="98" t="str">
        <f t="shared" si="216"/>
        <v>1+0.292604617561864i</v>
      </c>
      <c r="AK351" s="98">
        <f t="shared" si="231"/>
        <v>1.0419296819932353</v>
      </c>
      <c r="AL351" s="98">
        <f t="shared" si="232"/>
        <v>0.28465830665565112</v>
      </c>
      <c r="AM351" s="98" t="str">
        <f t="shared" si="217"/>
        <v>1+29.5530663737483i</v>
      </c>
      <c r="AN351" s="98">
        <f t="shared" si="233"/>
        <v>29.569980251788682</v>
      </c>
      <c r="AO351" s="98">
        <f t="shared" si="234"/>
        <v>1.5369717959671416</v>
      </c>
      <c r="AP351" s="168" t="str">
        <f t="shared" si="235"/>
        <v>-0.165180143377379+0.0544609627088897i</v>
      </c>
      <c r="AQ351" s="98">
        <f t="shared" si="236"/>
        <v>-15.19267783973036</v>
      </c>
      <c r="AR351" s="169">
        <f t="shared" si="237"/>
        <v>161.75227756484998</v>
      </c>
      <c r="AS351" s="168" t="e">
        <f t="shared" si="238"/>
        <v>#DIV/0!</v>
      </c>
      <c r="AT351" s="190" t="e">
        <f t="shared" si="239"/>
        <v>#DIV/0!</v>
      </c>
      <c r="AU351" s="169" t="e">
        <f t="shared" si="240"/>
        <v>#DIV/0!</v>
      </c>
      <c r="AV351" s="225"/>
      <c r="AX351" t="e">
        <f t="shared" si="241"/>
        <v>#DIV/0!</v>
      </c>
      <c r="AY351" t="e">
        <f t="shared" si="242"/>
        <v>#DIV/0!</v>
      </c>
    </row>
    <row r="352" spans="14:51" x14ac:dyDescent="0.25">
      <c r="N352" s="170">
        <v>34</v>
      </c>
      <c r="O352" s="199">
        <f t="shared" si="208"/>
        <v>21877.61623949555</v>
      </c>
      <c r="P352" s="189" t="str">
        <f t="shared" si="209"/>
        <v>290</v>
      </c>
      <c r="Q352" s="160" t="e">
        <f t="shared" si="210"/>
        <v>#DIV/0!</v>
      </c>
      <c r="R352" s="160" t="e">
        <f t="shared" si="218"/>
        <v>#DIV/0!</v>
      </c>
      <c r="S352" s="160" t="e">
        <f t="shared" si="219"/>
        <v>#DIV/0!</v>
      </c>
      <c r="T352" s="160" t="e">
        <f t="shared" si="211"/>
        <v>#DIV/0!</v>
      </c>
      <c r="U352" s="160" t="e">
        <f t="shared" si="220"/>
        <v>#DIV/0!</v>
      </c>
      <c r="V352" s="160" t="e">
        <f t="shared" si="221"/>
        <v>#DIV/0!</v>
      </c>
      <c r="W352" s="98" t="str">
        <f t="shared" si="212"/>
        <v>1-1.0953932753934i</v>
      </c>
      <c r="X352" s="160">
        <f t="shared" si="222"/>
        <v>1.483201411736478</v>
      </c>
      <c r="Y352" s="160">
        <f t="shared" si="223"/>
        <v>-0.83089198834567113</v>
      </c>
      <c r="Z352" s="98" t="str">
        <f t="shared" si="213"/>
        <v>0.990110948505731+0.130075243162336i</v>
      </c>
      <c r="AA352" s="160">
        <f t="shared" si="224"/>
        <v>0.99861867558876494</v>
      </c>
      <c r="AB352" s="160">
        <f t="shared" si="225"/>
        <v>0.13062633574128818</v>
      </c>
      <c r="AC352" s="171" t="e">
        <f t="shared" si="226"/>
        <v>#DIV/0!</v>
      </c>
      <c r="AD352" s="190" t="e">
        <f t="shared" si="227"/>
        <v>#DIV/0!</v>
      </c>
      <c r="AE352" s="169" t="e">
        <f t="shared" si="228"/>
        <v>#DIV/0!</v>
      </c>
      <c r="AF352" s="98" t="str">
        <f t="shared" si="214"/>
        <v>-0.0000182926829268293</v>
      </c>
      <c r="AG352" s="98" t="str">
        <f t="shared" si="215"/>
        <v>0.00305438601778713i</v>
      </c>
      <c r="AH352" s="98">
        <f t="shared" si="229"/>
        <v>3.0543860177871299E-3</v>
      </c>
      <c r="AI352" s="98">
        <f t="shared" si="230"/>
        <v>1.5707963267948966</v>
      </c>
      <c r="AJ352" s="98" t="str">
        <f t="shared" si="216"/>
        <v>1+0.299420254660046i</v>
      </c>
      <c r="AK352" s="98">
        <f t="shared" si="231"/>
        <v>1.0438642099912645</v>
      </c>
      <c r="AL352" s="98">
        <f t="shared" si="232"/>
        <v>0.29092483318805823</v>
      </c>
      <c r="AM352" s="98" t="str">
        <f t="shared" si="217"/>
        <v>1+30.2414457206646i</v>
      </c>
      <c r="AN352" s="98">
        <f t="shared" si="233"/>
        <v>30.257974804601563</v>
      </c>
      <c r="AO352" s="98">
        <f t="shared" si="234"/>
        <v>1.5377411690416734</v>
      </c>
      <c r="AP352" s="168" t="str">
        <f t="shared" si="235"/>
        <v>-0.164568474709909+0.0552641231694319i</v>
      </c>
      <c r="AQ352" s="98">
        <f t="shared" si="236"/>
        <v>-15.209013339316083</v>
      </c>
      <c r="AR352" s="169">
        <f t="shared" si="237"/>
        <v>161.43731387237798</v>
      </c>
      <c r="AS352" s="168" t="e">
        <f t="shared" si="238"/>
        <v>#DIV/0!</v>
      </c>
      <c r="AT352" s="190" t="e">
        <f t="shared" si="239"/>
        <v>#DIV/0!</v>
      </c>
      <c r="AU352" s="169" t="e">
        <f t="shared" si="240"/>
        <v>#DIV/0!</v>
      </c>
      <c r="AV352" s="225"/>
      <c r="AX352" t="e">
        <f t="shared" si="241"/>
        <v>#DIV/0!</v>
      </c>
      <c r="AY352" t="e">
        <f t="shared" si="242"/>
        <v>#DIV/0!</v>
      </c>
    </row>
    <row r="353" spans="14:51" x14ac:dyDescent="0.25">
      <c r="N353" s="170">
        <v>35</v>
      </c>
      <c r="O353" s="199">
        <f t="shared" si="208"/>
        <v>22387.211385683382</v>
      </c>
      <c r="P353" s="189" t="str">
        <f t="shared" si="209"/>
        <v>290</v>
      </c>
      <c r="Q353" s="160" t="e">
        <f t="shared" si="210"/>
        <v>#DIV/0!</v>
      </c>
      <c r="R353" s="160" t="e">
        <f t="shared" si="218"/>
        <v>#DIV/0!</v>
      </c>
      <c r="S353" s="160" t="e">
        <f t="shared" si="219"/>
        <v>#DIV/0!</v>
      </c>
      <c r="T353" s="160" t="e">
        <f t="shared" si="211"/>
        <v>#DIV/0!</v>
      </c>
      <c r="U353" s="160" t="e">
        <f t="shared" si="220"/>
        <v>#DIV/0!</v>
      </c>
      <c r="V353" s="160" t="e">
        <f t="shared" si="221"/>
        <v>#DIV/0!</v>
      </c>
      <c r="W353" s="98" t="str">
        <f t="shared" si="212"/>
        <v>1-1.12090826250152i</v>
      </c>
      <c r="X353" s="160">
        <f t="shared" si="222"/>
        <v>1.5021435793372671</v>
      </c>
      <c r="Y353" s="160">
        <f t="shared" si="223"/>
        <v>-0.84234430296893537</v>
      </c>
      <c r="Z353" s="98" t="str">
        <f t="shared" si="213"/>
        <v>0.989644891867205+0.133105084797233i</v>
      </c>
      <c r="AA353" s="160">
        <f t="shared" si="224"/>
        <v>0.99855594515166279</v>
      </c>
      <c r="AB353" s="160">
        <f t="shared" si="225"/>
        <v>0.13369550780471109</v>
      </c>
      <c r="AC353" s="171" t="e">
        <f t="shared" si="226"/>
        <v>#DIV/0!</v>
      </c>
      <c r="AD353" s="190" t="e">
        <f t="shared" si="227"/>
        <v>#DIV/0!</v>
      </c>
      <c r="AE353" s="169" t="e">
        <f t="shared" si="228"/>
        <v>#DIV/0!</v>
      </c>
      <c r="AF353" s="98" t="str">
        <f t="shared" si="214"/>
        <v>-0.0000182926829268293</v>
      </c>
      <c r="AG353" s="98" t="str">
        <f t="shared" si="215"/>
        <v>0.00312553180772188i</v>
      </c>
      <c r="AH353" s="98">
        <f t="shared" si="229"/>
        <v>3.1255318077218798E-3</v>
      </c>
      <c r="AI353" s="98">
        <f t="shared" si="230"/>
        <v>1.5707963267948966</v>
      </c>
      <c r="AJ353" s="98" t="str">
        <f t="shared" si="216"/>
        <v>1+0.306394648340542i</v>
      </c>
      <c r="AK353" s="98">
        <f t="shared" si="231"/>
        <v>1.0458860743559617</v>
      </c>
      <c r="AL353" s="98">
        <f t="shared" si="232"/>
        <v>0.29731307024813025</v>
      </c>
      <c r="AM353" s="98" t="str">
        <f t="shared" si="217"/>
        <v>1+30.9458594823948i</v>
      </c>
      <c r="AN353" s="98">
        <f t="shared" si="233"/>
        <v>30.962012517020334</v>
      </c>
      <c r="AO353" s="98">
        <f t="shared" si="234"/>
        <v>1.5384930668762353</v>
      </c>
      <c r="AP353" s="168" t="str">
        <f t="shared" si="235"/>
        <v>-0.163932815573195+0.0560807999184471i</v>
      </c>
      <c r="AQ353" s="98">
        <f t="shared" si="236"/>
        <v>-15.226034299128557</v>
      </c>
      <c r="AR353" s="169">
        <f t="shared" si="237"/>
        <v>161.11437542285216</v>
      </c>
      <c r="AS353" s="168" t="e">
        <f t="shared" si="238"/>
        <v>#DIV/0!</v>
      </c>
      <c r="AT353" s="190" t="e">
        <f t="shared" si="239"/>
        <v>#DIV/0!</v>
      </c>
      <c r="AU353" s="169" t="e">
        <f t="shared" si="240"/>
        <v>#DIV/0!</v>
      </c>
      <c r="AV353" s="225"/>
      <c r="AX353" t="e">
        <f t="shared" si="241"/>
        <v>#DIV/0!</v>
      </c>
      <c r="AY353" t="e">
        <f t="shared" si="242"/>
        <v>#DIV/0!</v>
      </c>
    </row>
    <row r="354" spans="14:51" x14ac:dyDescent="0.25">
      <c r="N354" s="170">
        <v>36</v>
      </c>
      <c r="O354" s="199">
        <f t="shared" si="208"/>
        <v>22908.676527677751</v>
      </c>
      <c r="P354" s="189" t="str">
        <f t="shared" si="209"/>
        <v>290</v>
      </c>
      <c r="Q354" s="160" t="e">
        <f t="shared" si="210"/>
        <v>#DIV/0!</v>
      </c>
      <c r="R354" s="160" t="e">
        <f t="shared" si="218"/>
        <v>#DIV/0!</v>
      </c>
      <c r="S354" s="160" t="e">
        <f t="shared" si="219"/>
        <v>#DIV/0!</v>
      </c>
      <c r="T354" s="160" t="e">
        <f t="shared" si="211"/>
        <v>#DIV/0!</v>
      </c>
      <c r="U354" s="160" t="e">
        <f t="shared" si="220"/>
        <v>#DIV/0!</v>
      </c>
      <c r="V354" s="160" t="e">
        <f t="shared" si="221"/>
        <v>#DIV/0!</v>
      </c>
      <c r="W354" s="98" t="str">
        <f t="shared" si="212"/>
        <v>1-1.14701757000741i</v>
      </c>
      <c r="X354" s="160">
        <f t="shared" si="222"/>
        <v>1.5217257656705769</v>
      </c>
      <c r="Y354" s="160">
        <f t="shared" si="223"/>
        <v>-0.8537666922528252</v>
      </c>
      <c r="Z354" s="98" t="str">
        <f t="shared" si="213"/>
        <v>0.989156870655996+0.136205500509945i</v>
      </c>
      <c r="AA354" s="160">
        <f t="shared" si="224"/>
        <v>0.99849048725319745</v>
      </c>
      <c r="AB354" s="160">
        <f t="shared" si="225"/>
        <v>0.13683805651918715</v>
      </c>
      <c r="AC354" s="171" t="e">
        <f t="shared" si="226"/>
        <v>#DIV/0!</v>
      </c>
      <c r="AD354" s="190" t="e">
        <f t="shared" si="227"/>
        <v>#DIV/0!</v>
      </c>
      <c r="AE354" s="169" t="e">
        <f t="shared" si="228"/>
        <v>#DIV/0!</v>
      </c>
      <c r="AF354" s="98" t="str">
        <f t="shared" si="214"/>
        <v>-0.0000182926829268293</v>
      </c>
      <c r="AG354" s="98" t="str">
        <f t="shared" si="215"/>
        <v>0.0031983347959924i</v>
      </c>
      <c r="AH354" s="98">
        <f t="shared" si="229"/>
        <v>3.1983347959924002E-3</v>
      </c>
      <c r="AI354" s="98">
        <f t="shared" si="230"/>
        <v>1.5707963267948966</v>
      </c>
      <c r="AJ354" s="98" t="str">
        <f t="shared" si="216"/>
        <v>1+0.313531496519205i</v>
      </c>
      <c r="AK354" s="98">
        <f t="shared" si="231"/>
        <v>1.0479990454716894</v>
      </c>
      <c r="AL354" s="98">
        <f t="shared" si="232"/>
        <v>0.30382431858159981</v>
      </c>
      <c r="AM354" s="98" t="str">
        <f t="shared" si="217"/>
        <v>1+31.6666811484397i</v>
      </c>
      <c r="AN354" s="98">
        <f t="shared" si="233"/>
        <v>31.682466680436139</v>
      </c>
      <c r="AO354" s="98">
        <f t="shared" si="234"/>
        <v>1.5392278847343819</v>
      </c>
      <c r="AP354" s="168" t="str">
        <f t="shared" si="235"/>
        <v>-0.163272440708449+0.0569104923508808i</v>
      </c>
      <c r="AQ354" s="98">
        <f t="shared" si="236"/>
        <v>-15.243768331454099</v>
      </c>
      <c r="AR354" s="169">
        <f t="shared" si="237"/>
        <v>160.78341033596556</v>
      </c>
      <c r="AS354" s="168" t="e">
        <f t="shared" si="238"/>
        <v>#DIV/0!</v>
      </c>
      <c r="AT354" s="190" t="e">
        <f t="shared" si="239"/>
        <v>#DIV/0!</v>
      </c>
      <c r="AU354" s="169" t="e">
        <f t="shared" si="240"/>
        <v>#DIV/0!</v>
      </c>
      <c r="AV354" s="225"/>
      <c r="AX354" t="e">
        <f t="shared" si="241"/>
        <v>#DIV/0!</v>
      </c>
      <c r="AY354" t="e">
        <f t="shared" si="242"/>
        <v>#DIV/0!</v>
      </c>
    </row>
    <row r="355" spans="14:51" x14ac:dyDescent="0.25">
      <c r="N355" s="170">
        <v>37</v>
      </c>
      <c r="O355" s="199">
        <f t="shared" si="208"/>
        <v>23442.288153199243</v>
      </c>
      <c r="P355" s="189" t="str">
        <f t="shared" si="209"/>
        <v>290</v>
      </c>
      <c r="Q355" s="160" t="e">
        <f t="shared" si="210"/>
        <v>#DIV/0!</v>
      </c>
      <c r="R355" s="160" t="e">
        <f t="shared" si="218"/>
        <v>#DIV/0!</v>
      </c>
      <c r="S355" s="160" t="e">
        <f t="shared" si="219"/>
        <v>#DIV/0!</v>
      </c>
      <c r="T355" s="160" t="e">
        <f t="shared" si="211"/>
        <v>#DIV/0!</v>
      </c>
      <c r="U355" s="160" t="e">
        <f t="shared" si="220"/>
        <v>#DIV/0!</v>
      </c>
      <c r="V355" s="160" t="e">
        <f t="shared" si="221"/>
        <v>#DIV/0!</v>
      </c>
      <c r="W355" s="98" t="str">
        <f t="shared" si="212"/>
        <v>1-1.17373504141148i</v>
      </c>
      <c r="X355" s="160">
        <f t="shared" si="222"/>
        <v>1.5419643145796886</v>
      </c>
      <c r="Y355" s="160">
        <f t="shared" si="223"/>
        <v>-0.86515329110658445</v>
      </c>
      <c r="Z355" s="98" t="str">
        <f t="shared" si="213"/>
        <v>0.988645849713685+0.13937813418192i</v>
      </c>
      <c r="AA355" s="160">
        <f t="shared" si="224"/>
        <v>0.99842219548852551</v>
      </c>
      <c r="AB355" s="160">
        <f t="shared" si="225"/>
        <v>0.14005582492090421</v>
      </c>
      <c r="AC355" s="171" t="e">
        <f t="shared" si="226"/>
        <v>#DIV/0!</v>
      </c>
      <c r="AD355" s="190" t="e">
        <f t="shared" si="227"/>
        <v>#DIV/0!</v>
      </c>
      <c r="AE355" s="169" t="e">
        <f t="shared" si="228"/>
        <v>#DIV/0!</v>
      </c>
      <c r="AF355" s="98" t="str">
        <f t="shared" si="214"/>
        <v>-0.0000182926829268293</v>
      </c>
      <c r="AG355" s="98" t="str">
        <f t="shared" si="215"/>
        <v>0.00327283358370672i</v>
      </c>
      <c r="AH355" s="98">
        <f t="shared" si="229"/>
        <v>3.2728335837067198E-3</v>
      </c>
      <c r="AI355" s="98">
        <f t="shared" si="230"/>
        <v>1.5707963267948966</v>
      </c>
      <c r="AJ355" s="98" t="str">
        <f t="shared" si="216"/>
        <v>1+0.3208345832474i</v>
      </c>
      <c r="AK355" s="98">
        <f t="shared" si="231"/>
        <v>1.0502070414006626</v>
      </c>
      <c r="AL355" s="98">
        <f t="shared" si="232"/>
        <v>0.31045982131268257</v>
      </c>
      <c r="AM355" s="98" t="str">
        <f t="shared" si="217"/>
        <v>1+32.4042929079874i</v>
      </c>
      <c r="AN355" s="98">
        <f t="shared" si="233"/>
        <v>32.419719290373912</v>
      </c>
      <c r="AO355" s="98">
        <f t="shared" si="234"/>
        <v>1.539946009050291</v>
      </c>
      <c r="AP355" s="168" t="str">
        <f t="shared" si="235"/>
        <v>-0.162586621816572+0.0577526603857569i</v>
      </c>
      <c r="AQ355" s="98">
        <f t="shared" si="236"/>
        <v>-15.262243839095342</v>
      </c>
      <c r="AR355" s="169">
        <f t="shared" si="237"/>
        <v>160.44436952699417</v>
      </c>
      <c r="AS355" s="168" t="e">
        <f t="shared" si="238"/>
        <v>#DIV/0!</v>
      </c>
      <c r="AT355" s="190" t="e">
        <f t="shared" si="239"/>
        <v>#DIV/0!</v>
      </c>
      <c r="AU355" s="169" t="e">
        <f t="shared" si="240"/>
        <v>#DIV/0!</v>
      </c>
      <c r="AV355" s="225"/>
      <c r="AX355" t="e">
        <f t="shared" si="241"/>
        <v>#DIV/0!</v>
      </c>
      <c r="AY355" t="e">
        <f t="shared" si="242"/>
        <v>#DIV/0!</v>
      </c>
    </row>
    <row r="356" spans="14:51" x14ac:dyDescent="0.25">
      <c r="N356" s="170">
        <v>38</v>
      </c>
      <c r="O356" s="199">
        <f t="shared" si="208"/>
        <v>23988.329190194923</v>
      </c>
      <c r="P356" s="189" t="str">
        <f t="shared" si="209"/>
        <v>290</v>
      </c>
      <c r="Q356" s="160" t="e">
        <f t="shared" si="210"/>
        <v>#DIV/0!</v>
      </c>
      <c r="R356" s="160" t="e">
        <f t="shared" si="218"/>
        <v>#DIV/0!</v>
      </c>
      <c r="S356" s="160" t="e">
        <f t="shared" si="219"/>
        <v>#DIV/0!</v>
      </c>
      <c r="T356" s="160" t="e">
        <f t="shared" si="211"/>
        <v>#DIV/0!</v>
      </c>
      <c r="U356" s="160" t="e">
        <f t="shared" si="220"/>
        <v>#DIV/0!</v>
      </c>
      <c r="V356" s="160" t="e">
        <f t="shared" si="221"/>
        <v>#DIV/0!</v>
      </c>
      <c r="W356" s="98" t="str">
        <f t="shared" si="212"/>
        <v>1-1.20107484267073i</v>
      </c>
      <c r="X356" s="160">
        <f t="shared" si="222"/>
        <v>1.5628758036697985</v>
      </c>
      <c r="Y356" s="160">
        <f t="shared" si="223"/>
        <v>-0.87649832712593156</v>
      </c>
      <c r="Z356" s="98" t="str">
        <f t="shared" si="213"/>
        <v>0.98811074509634+0.142624667985525i</v>
      </c>
      <c r="AA356" s="160">
        <f t="shared" si="224"/>
        <v>0.99835096058090989</v>
      </c>
      <c r="AB356" s="160">
        <f t="shared" si="225"/>
        <v>0.14335070841939723</v>
      </c>
      <c r="AC356" s="171" t="e">
        <f t="shared" si="226"/>
        <v>#DIV/0!</v>
      </c>
      <c r="AD356" s="190" t="e">
        <f t="shared" si="227"/>
        <v>#DIV/0!</v>
      </c>
      <c r="AE356" s="169" t="e">
        <f t="shared" si="228"/>
        <v>#DIV/0!</v>
      </c>
      <c r="AF356" s="98" t="str">
        <f t="shared" si="214"/>
        <v>-0.0000182926829268293</v>
      </c>
      <c r="AG356" s="98" t="str">
        <f t="shared" si="215"/>
        <v>0.0033490676711082i</v>
      </c>
      <c r="AH356" s="98">
        <f t="shared" si="229"/>
        <v>3.3490676711082001E-3</v>
      </c>
      <c r="AI356" s="98">
        <f t="shared" si="230"/>
        <v>1.5707963267948966</v>
      </c>
      <c r="AJ356" s="98" t="str">
        <f t="shared" si="216"/>
        <v>1+0.32830778071838i</v>
      </c>
      <c r="AK356" s="98">
        <f t="shared" si="231"/>
        <v>1.0525141323897877</v>
      </c>
      <c r="AL356" s="98">
        <f t="shared" si="232"/>
        <v>0.31722075856090437</v>
      </c>
      <c r="AM356" s="98" t="str">
        <f t="shared" si="217"/>
        <v>1+33.1590858525564i</v>
      </c>
      <c r="AN356" s="98">
        <f t="shared" si="233"/>
        <v>33.174161249038477</v>
      </c>
      <c r="AO356" s="98">
        <f t="shared" si="234"/>
        <v>1.5406478176185776</v>
      </c>
      <c r="AP356" s="168" t="str">
        <f t="shared" si="235"/>
        <v>-0.161874629435202+0.0586067228305115i</v>
      </c>
      <c r="AQ356" s="98">
        <f t="shared" si="236"/>
        <v>-15.28149001863386</v>
      </c>
      <c r="AR356" s="169">
        <f t="shared" si="237"/>
        <v>160.09720702610716</v>
      </c>
      <c r="AS356" s="168" t="e">
        <f t="shared" si="238"/>
        <v>#DIV/0!</v>
      </c>
      <c r="AT356" s="190" t="e">
        <f t="shared" si="239"/>
        <v>#DIV/0!</v>
      </c>
      <c r="AU356" s="169" t="e">
        <f t="shared" si="240"/>
        <v>#DIV/0!</v>
      </c>
      <c r="AV356" s="225"/>
      <c r="AX356" t="e">
        <f t="shared" si="241"/>
        <v>#DIV/0!</v>
      </c>
      <c r="AY356" t="e">
        <f t="shared" si="242"/>
        <v>#DIV/0!</v>
      </c>
    </row>
    <row r="357" spans="14:51" x14ac:dyDescent="0.25">
      <c r="N357" s="170">
        <v>39</v>
      </c>
      <c r="O357" s="199">
        <f t="shared" si="208"/>
        <v>24547.089156850321</v>
      </c>
      <c r="P357" s="189" t="str">
        <f t="shared" si="209"/>
        <v>290</v>
      </c>
      <c r="Q357" s="160" t="e">
        <f t="shared" si="210"/>
        <v>#DIV/0!</v>
      </c>
      <c r="R357" s="160" t="e">
        <f t="shared" si="218"/>
        <v>#DIV/0!</v>
      </c>
      <c r="S357" s="160" t="e">
        <f t="shared" si="219"/>
        <v>#DIV/0!</v>
      </c>
      <c r="T357" s="160" t="e">
        <f t="shared" si="211"/>
        <v>#DIV/0!</v>
      </c>
      <c r="U357" s="160" t="e">
        <f t="shared" si="220"/>
        <v>#DIV/0!</v>
      </c>
      <c r="V357" s="160" t="e">
        <f t="shared" si="221"/>
        <v>#DIV/0!</v>
      </c>
      <c r="W357" s="98" t="str">
        <f t="shared" si="212"/>
        <v>1-1.22905146970966i</v>
      </c>
      <c r="X357" s="160">
        <f t="shared" si="222"/>
        <v>1.5844770478601056</v>
      </c>
      <c r="Y357" s="160">
        <f t="shared" si="223"/>
        <v>-0.88779613466476681</v>
      </c>
      <c r="Z357" s="98" t="str">
        <f t="shared" si="213"/>
        <v>0.987550421775323+0.145946823275956i</v>
      </c>
      <c r="AA357" s="160">
        <f t="shared" si="224"/>
        <v>0.99827667045411894</v>
      </c>
      <c r="AB357" s="160">
        <f t="shared" si="225"/>
        <v>0.14672465667621615</v>
      </c>
      <c r="AC357" s="171" t="e">
        <f t="shared" si="226"/>
        <v>#DIV/0!</v>
      </c>
      <c r="AD357" s="190" t="e">
        <f t="shared" si="227"/>
        <v>#DIV/0!</v>
      </c>
      <c r="AE357" s="169" t="e">
        <f t="shared" si="228"/>
        <v>#DIV/0!</v>
      </c>
      <c r="AF357" s="98" t="str">
        <f t="shared" si="214"/>
        <v>-0.0000182926829268293</v>
      </c>
      <c r="AG357" s="98" t="str">
        <f t="shared" si="215"/>
        <v>0.00342707747851904i</v>
      </c>
      <c r="AH357" s="98">
        <f t="shared" si="229"/>
        <v>3.4270774785190401E-3</v>
      </c>
      <c r="AI357" s="98">
        <f t="shared" si="230"/>
        <v>1.5707963267948966</v>
      </c>
      <c r="AJ357" s="98" t="str">
        <f t="shared" si="216"/>
        <v>1+0.335955051320364i</v>
      </c>
      <c r="AK357" s="98">
        <f t="shared" si="231"/>
        <v>1.0549245454096081</v>
      </c>
      <c r="AL357" s="98">
        <f t="shared" si="232"/>
        <v>0.3241082418554872</v>
      </c>
      <c r="AM357" s="98" t="str">
        <f t="shared" si="217"/>
        <v>1+33.9314601833567i</v>
      </c>
      <c r="AN357" s="98">
        <f t="shared" si="233"/>
        <v>33.946192572580522</v>
      </c>
      <c r="AO357" s="98">
        <f t="shared" si="234"/>
        <v>1.5413336797805284</v>
      </c>
      <c r="AP357" s="168" t="str">
        <f t="shared" si="235"/>
        <v>-0.161135734987076+0.0594720557921741i</v>
      </c>
      <c r="AQ357" s="98">
        <f t="shared" si="236"/>
        <v>-15.301536861465252</v>
      </c>
      <c r="AR357" s="169">
        <f t="shared" si="237"/>
        <v>159.74188030906816</v>
      </c>
      <c r="AS357" s="168" t="e">
        <f t="shared" si="238"/>
        <v>#DIV/0!</v>
      </c>
      <c r="AT357" s="190" t="e">
        <f t="shared" si="239"/>
        <v>#DIV/0!</v>
      </c>
      <c r="AU357" s="169" t="e">
        <f t="shared" si="240"/>
        <v>#DIV/0!</v>
      </c>
      <c r="AV357" s="225"/>
      <c r="AX357" t="e">
        <f t="shared" si="241"/>
        <v>#DIV/0!</v>
      </c>
      <c r="AY357" t="e">
        <f t="shared" si="242"/>
        <v>#DIV/0!</v>
      </c>
    </row>
    <row r="358" spans="14:51" x14ac:dyDescent="0.25">
      <c r="N358" s="170">
        <v>40</v>
      </c>
      <c r="O358" s="199">
        <f t="shared" si="208"/>
        <v>25118.86431509586</v>
      </c>
      <c r="P358" s="189" t="str">
        <f t="shared" si="209"/>
        <v>290</v>
      </c>
      <c r="Q358" s="160" t="e">
        <f t="shared" si="210"/>
        <v>#DIV/0!</v>
      </c>
      <c r="R358" s="160" t="e">
        <f t="shared" si="218"/>
        <v>#DIV/0!</v>
      </c>
      <c r="S358" s="160" t="e">
        <f t="shared" si="219"/>
        <v>#DIV/0!</v>
      </c>
      <c r="T358" s="160" t="e">
        <f t="shared" si="211"/>
        <v>#DIV/0!</v>
      </c>
      <c r="U358" s="160" t="e">
        <f t="shared" si="220"/>
        <v>#DIV/0!</v>
      </c>
      <c r="V358" s="160" t="e">
        <f t="shared" si="221"/>
        <v>#DIV/0!</v>
      </c>
      <c r="W358" s="98" t="str">
        <f t="shared" si="212"/>
        <v>1-1.25767975610626i</v>
      </c>
      <c r="X358" s="160">
        <f t="shared" si="222"/>
        <v>1.606785103528005</v>
      </c>
      <c r="Y358" s="160">
        <f t="shared" si="223"/>
        <v>-0.89904116824813884</v>
      </c>
      <c r="Z358" s="98" t="str">
        <f t="shared" si="213"/>
        <v>0.986963691229748+0.149346361503924i</v>
      </c>
      <c r="AA358" s="160">
        <f t="shared" si="224"/>
        <v>0.99819921032843451</v>
      </c>
      <c r="AB358" s="160">
        <f t="shared" si="225"/>
        <v>0.1501796755723171</v>
      </c>
      <c r="AC358" s="171" t="e">
        <f t="shared" si="226"/>
        <v>#DIV/0!</v>
      </c>
      <c r="AD358" s="190" t="e">
        <f t="shared" si="227"/>
        <v>#DIV/0!</v>
      </c>
      <c r="AE358" s="169" t="e">
        <f t="shared" si="228"/>
        <v>#DIV/0!</v>
      </c>
      <c r="AF358" s="98" t="str">
        <f t="shared" si="214"/>
        <v>-0.0000182926829268293</v>
      </c>
      <c r="AG358" s="98" t="str">
        <f t="shared" si="215"/>
        <v>0.00350690436777174i</v>
      </c>
      <c r="AH358" s="98">
        <f t="shared" si="229"/>
        <v>3.5069043677717401E-3</v>
      </c>
      <c r="AI358" s="98">
        <f t="shared" si="230"/>
        <v>1.5707963267948966</v>
      </c>
      <c r="AJ358" s="98" t="str">
        <f t="shared" si="216"/>
        <v>1+0.343780449737451i</v>
      </c>
      <c r="AK358" s="98">
        <f t="shared" si="231"/>
        <v>1.0574426687162213</v>
      </c>
      <c r="AL358" s="98">
        <f t="shared" si="232"/>
        <v>0.33112330835414511</v>
      </c>
      <c r="AM358" s="98" t="str">
        <f t="shared" si="217"/>
        <v>1+34.7218254234825i</v>
      </c>
      <c r="AN358" s="98">
        <f t="shared" si="233"/>
        <v>34.736222603196161</v>
      </c>
      <c r="AO358" s="98">
        <f t="shared" si="234"/>
        <v>1.5420039566067896</v>
      </c>
      <c r="AP358" s="168" t="str">
        <f t="shared" si="235"/>
        <v>-0.160369213004691+0.0603479911496348i</v>
      </c>
      <c r="AQ358" s="98">
        <f t="shared" si="236"/>
        <v>-15.322415152412807</v>
      </c>
      <c r="AR358" s="169">
        <f t="shared" si="237"/>
        <v>159.3783506389417</v>
      </c>
      <c r="AS358" s="168" t="e">
        <f t="shared" si="238"/>
        <v>#DIV/0!</v>
      </c>
      <c r="AT358" s="190" t="e">
        <f t="shared" si="239"/>
        <v>#DIV/0!</v>
      </c>
      <c r="AU358" s="169" t="e">
        <f t="shared" si="240"/>
        <v>#DIV/0!</v>
      </c>
      <c r="AV358" s="225"/>
      <c r="AX358" t="e">
        <f t="shared" si="241"/>
        <v>#DIV/0!</v>
      </c>
      <c r="AY358" t="e">
        <f t="shared" si="242"/>
        <v>#DIV/0!</v>
      </c>
    </row>
    <row r="359" spans="14:51" x14ac:dyDescent="0.25">
      <c r="N359" s="170">
        <v>41</v>
      </c>
      <c r="O359" s="199">
        <f t="shared" si="208"/>
        <v>25703.95782768865</v>
      </c>
      <c r="P359" s="189" t="str">
        <f t="shared" si="209"/>
        <v>290</v>
      </c>
      <c r="Q359" s="160" t="e">
        <f t="shared" si="210"/>
        <v>#DIV/0!</v>
      </c>
      <c r="R359" s="160" t="e">
        <f t="shared" si="218"/>
        <v>#DIV/0!</v>
      </c>
      <c r="S359" s="160" t="e">
        <f t="shared" si="219"/>
        <v>#DIV/0!</v>
      </c>
      <c r="T359" s="160" t="e">
        <f t="shared" si="211"/>
        <v>#DIV/0!</v>
      </c>
      <c r="U359" s="160" t="e">
        <f t="shared" si="220"/>
        <v>#DIV/0!</v>
      </c>
      <c r="V359" s="160" t="e">
        <f t="shared" si="221"/>
        <v>#DIV/0!</v>
      </c>
      <c r="W359" s="98" t="str">
        <f t="shared" si="212"/>
        <v>1-1.2869748809569i</v>
      </c>
      <c r="X359" s="160">
        <f t="shared" si="222"/>
        <v>1.6298172732591916</v>
      </c>
      <c r="Y359" s="160">
        <f t="shared" si="223"/>
        <v>-0.91022801525393893</v>
      </c>
      <c r="Z359" s="98" t="str">
        <f t="shared" si="213"/>
        <v>0.986349308925463+0.152825085149594i</v>
      </c>
      <c r="AA359" s="160">
        <f t="shared" si="224"/>
        <v>0.99811846284332362</v>
      </c>
      <c r="AB359" s="160">
        <f t="shared" si="225"/>
        <v>0.15371782926917341</v>
      </c>
      <c r="AC359" s="171" t="e">
        <f t="shared" si="226"/>
        <v>#DIV/0!</v>
      </c>
      <c r="AD359" s="190" t="e">
        <f t="shared" si="227"/>
        <v>#DIV/0!</v>
      </c>
      <c r="AE359" s="169" t="e">
        <f t="shared" si="228"/>
        <v>#DIV/0!</v>
      </c>
      <c r="AF359" s="98" t="str">
        <f t="shared" si="214"/>
        <v>-0.0000182926829268293</v>
      </c>
      <c r="AG359" s="98" t="str">
        <f t="shared" si="215"/>
        <v>0.00358859066413958i</v>
      </c>
      <c r="AH359" s="98">
        <f t="shared" si="229"/>
        <v>3.5885906641395801E-3</v>
      </c>
      <c r="AI359" s="98">
        <f t="shared" si="230"/>
        <v>1.5707963267948966</v>
      </c>
      <c r="AJ359" s="98" t="str">
        <f t="shared" si="216"/>
        <v>1+0.351788125099459i</v>
      </c>
      <c r="AK359" s="98">
        <f t="shared" si="231"/>
        <v>1.0600730564262977</v>
      </c>
      <c r="AL359" s="98">
        <f t="shared" si="232"/>
        <v>0.33826691487498123</v>
      </c>
      <c r="AM359" s="98" t="str">
        <f t="shared" si="217"/>
        <v>1+35.5306006350453i</v>
      </c>
      <c r="AN359" s="98">
        <f t="shared" si="233"/>
        <v>35.544670226168677</v>
      </c>
      <c r="AO359" s="98">
        <f t="shared" si="234"/>
        <v>1.5426590010765397</v>
      </c>
      <c r="AP359" s="168" t="str">
        <f t="shared" si="235"/>
        <v>-0.159574343535304+0.0612338151023992i</v>
      </c>
      <c r="AQ359" s="98">
        <f t="shared" si="236"/>
        <v>-15.344156465723785</v>
      </c>
      <c r="AR359" s="169">
        <f t="shared" si="237"/>
        <v>159.00658341830567</v>
      </c>
      <c r="AS359" s="168" t="e">
        <f t="shared" si="238"/>
        <v>#DIV/0!</v>
      </c>
      <c r="AT359" s="190" t="e">
        <f t="shared" si="239"/>
        <v>#DIV/0!</v>
      </c>
      <c r="AU359" s="169" t="e">
        <f t="shared" si="240"/>
        <v>#DIV/0!</v>
      </c>
      <c r="AV359" s="225"/>
      <c r="AX359" t="e">
        <f t="shared" si="241"/>
        <v>#DIV/0!</v>
      </c>
      <c r="AY359" t="e">
        <f t="shared" si="242"/>
        <v>#DIV/0!</v>
      </c>
    </row>
    <row r="360" spans="14:51" x14ac:dyDescent="0.25">
      <c r="N360" s="170">
        <v>42</v>
      </c>
      <c r="O360" s="199">
        <f t="shared" si="208"/>
        <v>26302.679918953829</v>
      </c>
      <c r="P360" s="189" t="str">
        <f t="shared" si="209"/>
        <v>290</v>
      </c>
      <c r="Q360" s="160" t="e">
        <f t="shared" si="210"/>
        <v>#DIV/0!</v>
      </c>
      <c r="R360" s="160" t="e">
        <f t="shared" si="218"/>
        <v>#DIV/0!</v>
      </c>
      <c r="S360" s="160" t="e">
        <f t="shared" si="219"/>
        <v>#DIV/0!</v>
      </c>
      <c r="T360" s="160" t="e">
        <f t="shared" si="211"/>
        <v>#DIV/0!</v>
      </c>
      <c r="U360" s="160" t="e">
        <f t="shared" si="220"/>
        <v>#DIV/0!</v>
      </c>
      <c r="V360" s="160" t="e">
        <f t="shared" si="221"/>
        <v>#DIV/0!</v>
      </c>
      <c r="W360" s="98" t="str">
        <f t="shared" si="212"/>
        <v>1-1.31695237692455i</v>
      </c>
      <c r="X360" s="160">
        <f t="shared" si="222"/>
        <v>1.6535911112143842</v>
      </c>
      <c r="Y360" s="160">
        <f t="shared" si="223"/>
        <v>-0.9213514077991164</v>
      </c>
      <c r="Z360" s="98" t="str">
        <f t="shared" si="213"/>
        <v>0.985705971675229+0.156384838678289i</v>
      </c>
      <c r="AA360" s="160">
        <f t="shared" si="224"/>
        <v>0.99803430821021477</v>
      </c>
      <c r="AB360" s="160">
        <f t="shared" si="225"/>
        <v>0.15734124236890865</v>
      </c>
      <c r="AC360" s="171" t="e">
        <f t="shared" si="226"/>
        <v>#DIV/0!</v>
      </c>
      <c r="AD360" s="190" t="e">
        <f t="shared" si="227"/>
        <v>#DIV/0!</v>
      </c>
      <c r="AE360" s="169" t="e">
        <f t="shared" si="228"/>
        <v>#DIV/0!</v>
      </c>
      <c r="AF360" s="98" t="str">
        <f t="shared" si="214"/>
        <v>-0.0000182926829268293</v>
      </c>
      <c r="AG360" s="98" t="str">
        <f t="shared" si="215"/>
        <v>0.00367217967877817i</v>
      </c>
      <c r="AH360" s="98">
        <f t="shared" si="229"/>
        <v>3.6721796787781702E-3</v>
      </c>
      <c r="AI360" s="98">
        <f t="shared" si="230"/>
        <v>1.5707963267948966</v>
      </c>
      <c r="AJ360" s="98" t="str">
        <f t="shared" si="216"/>
        <v>1+0.359982323181861i</v>
      </c>
      <c r="AK360" s="98">
        <f t="shared" si="231"/>
        <v>1.0628204330946078</v>
      </c>
      <c r="AL360" s="98">
        <f t="shared" si="232"/>
        <v>0.34553993175228465</v>
      </c>
      <c r="AM360" s="98" t="str">
        <f t="shared" si="217"/>
        <v>1+36.3582146413679i</v>
      </c>
      <c r="AN360" s="98">
        <f t="shared" si="233"/>
        <v>36.371964091973084</v>
      </c>
      <c r="AO360" s="98">
        <f t="shared" si="234"/>
        <v>1.5432991582531916</v>
      </c>
      <c r="AP360" s="168" t="str">
        <f t="shared" si="235"/>
        <v>-0.15875041472931+0.0621287668124061i</v>
      </c>
      <c r="AQ360" s="98">
        <f t="shared" si="236"/>
        <v>-15.366793158245557</v>
      </c>
      <c r="AR360" s="169">
        <f t="shared" si="237"/>
        <v>158.626548551356</v>
      </c>
      <c r="AS360" s="168" t="e">
        <f t="shared" si="238"/>
        <v>#DIV/0!</v>
      </c>
      <c r="AT360" s="190" t="e">
        <f t="shared" si="239"/>
        <v>#DIV/0!</v>
      </c>
      <c r="AU360" s="169" t="e">
        <f t="shared" si="240"/>
        <v>#DIV/0!</v>
      </c>
      <c r="AV360" s="225"/>
      <c r="AX360" t="e">
        <f t="shared" si="241"/>
        <v>#DIV/0!</v>
      </c>
      <c r="AY360" t="e">
        <f t="shared" si="242"/>
        <v>#DIV/0!</v>
      </c>
    </row>
    <row r="361" spans="14:51" x14ac:dyDescent="0.25">
      <c r="N361" s="170">
        <v>43</v>
      </c>
      <c r="O361" s="199">
        <f t="shared" si="208"/>
        <v>26915.348039269167</v>
      </c>
      <c r="P361" s="189" t="str">
        <f t="shared" si="209"/>
        <v>290</v>
      </c>
      <c r="Q361" s="160" t="e">
        <f t="shared" si="210"/>
        <v>#DIV/0!</v>
      </c>
      <c r="R361" s="160" t="e">
        <f t="shared" si="218"/>
        <v>#DIV/0!</v>
      </c>
      <c r="S361" s="160" t="e">
        <f t="shared" si="219"/>
        <v>#DIV/0!</v>
      </c>
      <c r="T361" s="160" t="e">
        <f t="shared" si="211"/>
        <v>#DIV/0!</v>
      </c>
      <c r="U361" s="160" t="e">
        <f t="shared" si="220"/>
        <v>#DIV/0!</v>
      </c>
      <c r="V361" s="160" t="e">
        <f t="shared" si="221"/>
        <v>#DIV/0!</v>
      </c>
      <c r="W361" s="98" t="str">
        <f t="shared" si="212"/>
        <v>1-1.34762813847438i</v>
      </c>
      <c r="X361" s="160">
        <f t="shared" si="222"/>
        <v>1.6781244291195818</v>
      </c>
      <c r="Y361" s="160">
        <f t="shared" si="223"/>
        <v>-0.93240623377463272</v>
      </c>
      <c r="Z361" s="98" t="str">
        <f t="shared" si="213"/>
        <v>0.985032314874484+0.160027509518449i</v>
      </c>
      <c r="AA361" s="160">
        <f t="shared" si="224"/>
        <v>0.99794662439915194</v>
      </c>
      <c r="AB361" s="160">
        <f t="shared" si="225"/>
        <v>0.16105210217902777</v>
      </c>
      <c r="AC361" s="171" t="e">
        <f t="shared" si="226"/>
        <v>#DIV/0!</v>
      </c>
      <c r="AD361" s="190" t="e">
        <f t="shared" si="227"/>
        <v>#DIV/0!</v>
      </c>
      <c r="AE361" s="169" t="e">
        <f t="shared" si="228"/>
        <v>#DIV/0!</v>
      </c>
      <c r="AF361" s="98" t="str">
        <f t="shared" si="214"/>
        <v>-0.0000182926829268293</v>
      </c>
      <c r="AG361" s="98" t="str">
        <f t="shared" si="215"/>
        <v>0.00375771573168949i</v>
      </c>
      <c r="AH361" s="98">
        <f t="shared" si="229"/>
        <v>3.7577157316894898E-3</v>
      </c>
      <c r="AI361" s="98">
        <f t="shared" si="230"/>
        <v>1.5707963267948966</v>
      </c>
      <c r="AJ361" s="98" t="str">
        <f t="shared" si="216"/>
        <v>1+0.368367388656945i</v>
      </c>
      <c r="AK361" s="98">
        <f t="shared" si="231"/>
        <v>1.0656896982827302</v>
      </c>
      <c r="AL361" s="98">
        <f t="shared" si="232"/>
        <v>0.35294313652916526</v>
      </c>
      <c r="AM361" s="98" t="str">
        <f t="shared" si="217"/>
        <v>1+37.2051062543514i</v>
      </c>
      <c r="AN361" s="98">
        <f t="shared" si="233"/>
        <v>37.218542843555518</v>
      </c>
      <c r="AO361" s="98">
        <f t="shared" si="234"/>
        <v>1.543924765456655</v>
      </c>
      <c r="AP361" s="168" t="str">
        <f t="shared" si="235"/>
        <v>-0.157896725613759+0.0630320371566043i</v>
      </c>
      <c r="AQ361" s="98">
        <f t="shared" si="236"/>
        <v>-15.390358359578951</v>
      </c>
      <c r="AR361" s="169">
        <f t="shared" si="237"/>
        <v>158.23822081516113</v>
      </c>
      <c r="AS361" s="168" t="e">
        <f t="shared" si="238"/>
        <v>#DIV/0!</v>
      </c>
      <c r="AT361" s="190" t="e">
        <f t="shared" si="239"/>
        <v>#DIV/0!</v>
      </c>
      <c r="AU361" s="169" t="e">
        <f t="shared" si="240"/>
        <v>#DIV/0!</v>
      </c>
      <c r="AV361" s="225"/>
      <c r="AX361" t="e">
        <f t="shared" si="241"/>
        <v>#DIV/0!</v>
      </c>
      <c r="AY361" t="e">
        <f t="shared" si="242"/>
        <v>#DIV/0!</v>
      </c>
    </row>
    <row r="362" spans="14:51" x14ac:dyDescent="0.25">
      <c r="N362" s="170">
        <v>44</v>
      </c>
      <c r="O362" s="199">
        <f t="shared" si="208"/>
        <v>27542.287033381719</v>
      </c>
      <c r="P362" s="189" t="str">
        <f t="shared" si="209"/>
        <v>290</v>
      </c>
      <c r="Q362" s="160" t="e">
        <f t="shared" si="210"/>
        <v>#DIV/0!</v>
      </c>
      <c r="R362" s="160" t="e">
        <f t="shared" si="218"/>
        <v>#DIV/0!</v>
      </c>
      <c r="S362" s="160" t="e">
        <f t="shared" si="219"/>
        <v>#DIV/0!</v>
      </c>
      <c r="T362" s="160" t="e">
        <f t="shared" si="211"/>
        <v>#DIV/0!</v>
      </c>
      <c r="U362" s="160" t="e">
        <f t="shared" si="220"/>
        <v>#DIV/0!</v>
      </c>
      <c r="V362" s="160" t="e">
        <f t="shared" si="221"/>
        <v>#DIV/0!</v>
      </c>
      <c r="W362" s="98" t="str">
        <f t="shared" si="212"/>
        <v>1-1.37901843030119i</v>
      </c>
      <c r="X362" s="160">
        <f t="shared" si="222"/>
        <v>1.7034353028836633</v>
      </c>
      <c r="Y362" s="160">
        <f t="shared" si="223"/>
        <v>-0.94338754698250626</v>
      </c>
      <c r="Z362" s="98" t="str">
        <f t="shared" si="213"/>
        <v>0.984326909606835+0.163755029062371i</v>
      </c>
      <c r="AA362" s="160">
        <f t="shared" si="224"/>
        <v>0.99785528736353357</v>
      </c>
      <c r="AB362" s="160">
        <f t="shared" si="225"/>
        <v>0.16485266108765917</v>
      </c>
      <c r="AC362" s="171" t="e">
        <f t="shared" si="226"/>
        <v>#DIV/0!</v>
      </c>
      <c r="AD362" s="190" t="e">
        <f t="shared" si="227"/>
        <v>#DIV/0!</v>
      </c>
      <c r="AE362" s="169" t="e">
        <f t="shared" si="228"/>
        <v>#DIV/0!</v>
      </c>
      <c r="AF362" s="98" t="str">
        <f t="shared" si="214"/>
        <v>-0.0000182926829268293</v>
      </c>
      <c r="AG362" s="98" t="str">
        <f t="shared" si="215"/>
        <v>0.00384524417522101i</v>
      </c>
      <c r="AH362" s="98">
        <f t="shared" si="229"/>
        <v>3.8452441752210098E-3</v>
      </c>
      <c r="AI362" s="98">
        <f t="shared" si="230"/>
        <v>1.5707963267948966</v>
      </c>
      <c r="AJ362" s="98" t="str">
        <f t="shared" si="216"/>
        <v>1+0.376947767397413i</v>
      </c>
      <c r="AK362" s="98">
        <f t="shared" si="231"/>
        <v>1.0686859311069339</v>
      </c>
      <c r="AL362" s="98">
        <f t="shared" si="232"/>
        <v>0.36047720750236306</v>
      </c>
      <c r="AM362" s="98" t="str">
        <f t="shared" si="217"/>
        <v>1+38.0717245071387i</v>
      </c>
      <c r="AN362" s="98">
        <f t="shared" si="233"/>
        <v>38.084855348910871</v>
      </c>
      <c r="AO362" s="98">
        <f t="shared" si="234"/>
        <v>1.5445361524322052</v>
      </c>
      <c r="AP362" s="168" t="str">
        <f t="shared" si="235"/>
        <v>-0.157012589051413+0.0639427676090714i</v>
      </c>
      <c r="AQ362" s="98">
        <f t="shared" si="236"/>
        <v>-15.414885959002572</v>
      </c>
      <c r="AR362" s="169">
        <f t="shared" si="237"/>
        <v>157.84158023919304</v>
      </c>
      <c r="AS362" s="168" t="e">
        <f t="shared" si="238"/>
        <v>#DIV/0!</v>
      </c>
      <c r="AT362" s="190" t="e">
        <f t="shared" si="239"/>
        <v>#DIV/0!</v>
      </c>
      <c r="AU362" s="169" t="e">
        <f t="shared" si="240"/>
        <v>#DIV/0!</v>
      </c>
      <c r="AV362" s="225"/>
      <c r="AX362" t="e">
        <f t="shared" si="241"/>
        <v>#DIV/0!</v>
      </c>
      <c r="AY362" t="e">
        <f t="shared" si="242"/>
        <v>#DIV/0!</v>
      </c>
    </row>
    <row r="363" spans="14:51" x14ac:dyDescent="0.25">
      <c r="N363" s="170">
        <v>45</v>
      </c>
      <c r="O363" s="199">
        <f t="shared" si="208"/>
        <v>28183.829312644593</v>
      </c>
      <c r="P363" s="189" t="str">
        <f t="shared" si="209"/>
        <v>290</v>
      </c>
      <c r="Q363" s="160" t="e">
        <f t="shared" si="210"/>
        <v>#DIV/0!</v>
      </c>
      <c r="R363" s="160" t="e">
        <f t="shared" si="218"/>
        <v>#DIV/0!</v>
      </c>
      <c r="S363" s="160" t="e">
        <f t="shared" si="219"/>
        <v>#DIV/0!</v>
      </c>
      <c r="T363" s="160" t="e">
        <f t="shared" si="211"/>
        <v>#DIV/0!</v>
      </c>
      <c r="U363" s="160" t="e">
        <f t="shared" si="220"/>
        <v>#DIV/0!</v>
      </c>
      <c r="V363" s="160" t="e">
        <f t="shared" si="221"/>
        <v>#DIV/0!</v>
      </c>
      <c r="W363" s="98" t="str">
        <f t="shared" si="212"/>
        <v>1-1.41113989595322i</v>
      </c>
      <c r="X363" s="160">
        <f t="shared" si="222"/>
        <v>1.7295420798439292</v>
      </c>
      <c r="Y363" s="160">
        <f t="shared" si="223"/>
        <v>-0.95429057633751624</v>
      </c>
      <c r="Z363" s="98" t="str">
        <f t="shared" si="213"/>
        <v>0.983588259613135+0.167569373690256i</v>
      </c>
      <c r="AA363" s="160">
        <f t="shared" si="224"/>
        <v>0.99776017130758465</v>
      </c>
      <c r="AB363" s="160">
        <f t="shared" si="225"/>
        <v>0.16874523905554101</v>
      </c>
      <c r="AC363" s="171" t="e">
        <f t="shared" si="226"/>
        <v>#DIV/0!</v>
      </c>
      <c r="AD363" s="190" t="e">
        <f t="shared" si="227"/>
        <v>#DIV/0!</v>
      </c>
      <c r="AE363" s="169" t="e">
        <f t="shared" si="228"/>
        <v>#DIV/0!</v>
      </c>
      <c r="AF363" s="98" t="str">
        <f t="shared" si="214"/>
        <v>-0.0000182926829268293</v>
      </c>
      <c r="AG363" s="98" t="str">
        <f t="shared" si="215"/>
        <v>0.00393481141811205i</v>
      </c>
      <c r="AH363" s="98">
        <f t="shared" si="229"/>
        <v>3.9348114181120501E-3</v>
      </c>
      <c r="AI363" s="98">
        <f t="shared" si="230"/>
        <v>1.5707963267948966</v>
      </c>
      <c r="AJ363" s="98" t="str">
        <f t="shared" si="216"/>
        <v>1+0.385728008833649i</v>
      </c>
      <c r="AK363" s="98">
        <f t="shared" si="231"/>
        <v>1.0718143947525482</v>
      </c>
      <c r="AL363" s="98">
        <f t="shared" si="232"/>
        <v>0.36814271713703811</v>
      </c>
      <c r="AM363" s="98" t="str">
        <f t="shared" si="217"/>
        <v>1+38.9585288921985i</v>
      </c>
      <c r="AN363" s="98">
        <f t="shared" si="233"/>
        <v>38.971360939082757</v>
      </c>
      <c r="AO363" s="98">
        <f t="shared" si="234"/>
        <v>1.545133641516</v>
      </c>
      <c r="AP363" s="168" t="str">
        <f t="shared" si="235"/>
        <v>-0.15609733488414+0.0648600492724755i</v>
      </c>
      <c r="AQ363" s="98">
        <f t="shared" si="236"/>
        <v>-15.440410588962898</v>
      </c>
      <c r="AR363" s="169">
        <f t="shared" si="237"/>
        <v>157.43661249211596</v>
      </c>
      <c r="AS363" s="168" t="e">
        <f t="shared" si="238"/>
        <v>#DIV/0!</v>
      </c>
      <c r="AT363" s="190" t="e">
        <f t="shared" si="239"/>
        <v>#DIV/0!</v>
      </c>
      <c r="AU363" s="169" t="e">
        <f t="shared" si="240"/>
        <v>#DIV/0!</v>
      </c>
      <c r="AV363" s="225"/>
      <c r="AX363" t="e">
        <f t="shared" si="241"/>
        <v>#DIV/0!</v>
      </c>
      <c r="AY363" t="e">
        <f t="shared" si="242"/>
        <v>#DIV/0!</v>
      </c>
    </row>
    <row r="364" spans="14:51" x14ac:dyDescent="0.25">
      <c r="N364" s="170">
        <v>46</v>
      </c>
      <c r="O364" s="199">
        <f t="shared" si="208"/>
        <v>28840.315031266062</v>
      </c>
      <c r="P364" s="189" t="str">
        <f t="shared" si="209"/>
        <v>290</v>
      </c>
      <c r="Q364" s="160" t="e">
        <f t="shared" si="210"/>
        <v>#DIV/0!</v>
      </c>
      <c r="R364" s="160" t="e">
        <f t="shared" si="218"/>
        <v>#DIV/0!</v>
      </c>
      <c r="S364" s="160" t="e">
        <f t="shared" si="219"/>
        <v>#DIV/0!</v>
      </c>
      <c r="T364" s="160" t="e">
        <f t="shared" si="211"/>
        <v>#DIV/0!</v>
      </c>
      <c r="U364" s="160" t="e">
        <f t="shared" si="220"/>
        <v>#DIV/0!</v>
      </c>
      <c r="V364" s="160" t="e">
        <f t="shared" si="221"/>
        <v>#DIV/0!</v>
      </c>
      <c r="W364" s="98" t="str">
        <f t="shared" si="212"/>
        <v>1-1.44400956665671i</v>
      </c>
      <c r="X364" s="160">
        <f t="shared" si="222"/>
        <v>1.7564633866369372</v>
      </c>
      <c r="Y364" s="160">
        <f t="shared" si="223"/>
        <v>-0.96511073410535086</v>
      </c>
      <c r="Z364" s="98" t="str">
        <f t="shared" si="213"/>
        <v>0.982814798117714+0.171472565818113i</v>
      </c>
      <c r="AA364" s="160">
        <f t="shared" si="224"/>
        <v>0.99766114900170877</v>
      </c>
      <c r="AB364" s="160">
        <f t="shared" si="225"/>
        <v>0.17273222623133794</v>
      </c>
      <c r="AC364" s="171" t="e">
        <f t="shared" si="226"/>
        <v>#DIV/0!</v>
      </c>
      <c r="AD364" s="190" t="e">
        <f t="shared" si="227"/>
        <v>#DIV/0!</v>
      </c>
      <c r="AE364" s="169" t="e">
        <f t="shared" si="228"/>
        <v>#DIV/0!</v>
      </c>
      <c r="AF364" s="98" t="str">
        <f t="shared" si="214"/>
        <v>-0.0000182926829268293</v>
      </c>
      <c r="AG364" s="98" t="str">
        <f t="shared" si="215"/>
        <v>0.00402646495010035i</v>
      </c>
      <c r="AH364" s="98">
        <f t="shared" si="229"/>
        <v>4.0264649501003504E-3</v>
      </c>
      <c r="AI364" s="98">
        <f t="shared" si="230"/>
        <v>1.5707963267948966</v>
      </c>
      <c r="AJ364" s="98" t="str">
        <f t="shared" si="216"/>
        <v>1+0.394712768365879i</v>
      </c>
      <c r="AK364" s="98">
        <f t="shared" si="231"/>
        <v>1.0750805409414943</v>
      </c>
      <c r="AL364" s="98">
        <f t="shared" si="232"/>
        <v>0.37594012537191973</v>
      </c>
      <c r="AM364" s="98" t="str">
        <f t="shared" si="217"/>
        <v>1+39.8659896049538i</v>
      </c>
      <c r="AN364" s="98">
        <f t="shared" si="233"/>
        <v>39.878529651709634</v>
      </c>
      <c r="AO364" s="98">
        <f t="shared" si="234"/>
        <v>1.5457175477972869</v>
      </c>
      <c r="AP364" s="168" t="str">
        <f t="shared" si="235"/>
        <v>-0.155150313257635+0.0657829220795824i</v>
      </c>
      <c r="AQ364" s="98">
        <f t="shared" si="236"/>
        <v>-15.46696760492852</v>
      </c>
      <c r="AR364" s="169">
        <f t="shared" si="237"/>
        <v>157.02330927466559</v>
      </c>
      <c r="AS364" s="168" t="e">
        <f t="shared" si="238"/>
        <v>#DIV/0!</v>
      </c>
      <c r="AT364" s="190" t="e">
        <f t="shared" si="239"/>
        <v>#DIV/0!</v>
      </c>
      <c r="AU364" s="169" t="e">
        <f t="shared" si="240"/>
        <v>#DIV/0!</v>
      </c>
      <c r="AV364" s="225"/>
      <c r="AX364" t="e">
        <f t="shared" si="241"/>
        <v>#DIV/0!</v>
      </c>
      <c r="AY364" t="e">
        <f t="shared" si="242"/>
        <v>#DIV/0!</v>
      </c>
    </row>
    <row r="365" spans="14:51" x14ac:dyDescent="0.25">
      <c r="N365" s="170">
        <v>47</v>
      </c>
      <c r="O365" s="199">
        <f t="shared" si="208"/>
        <v>29512.092266663854</v>
      </c>
      <c r="P365" s="189" t="str">
        <f t="shared" si="209"/>
        <v>290</v>
      </c>
      <c r="Q365" s="160" t="e">
        <f t="shared" si="210"/>
        <v>#DIV/0!</v>
      </c>
      <c r="R365" s="160" t="e">
        <f t="shared" si="218"/>
        <v>#DIV/0!</v>
      </c>
      <c r="S365" s="160" t="e">
        <f t="shared" si="219"/>
        <v>#DIV/0!</v>
      </c>
      <c r="T365" s="160" t="e">
        <f t="shared" si="211"/>
        <v>#DIV/0!</v>
      </c>
      <c r="U365" s="160" t="e">
        <f t="shared" si="220"/>
        <v>#DIV/0!</v>
      </c>
      <c r="V365" s="160" t="e">
        <f t="shared" si="221"/>
        <v>#DIV/0!</v>
      </c>
      <c r="W365" s="98" t="str">
        <f t="shared" si="212"/>
        <v>1-1.47764487034619i</v>
      </c>
      <c r="X365" s="160">
        <f t="shared" si="222"/>
        <v>1.7842181376895621</v>
      </c>
      <c r="Y365" s="160">
        <f t="shared" si="223"/>
        <v>-0.97584362315841866</v>
      </c>
      <c r="Z365" s="98" t="str">
        <f t="shared" si="213"/>
        <v>0.98200488450504+0.175466674970076i</v>
      </c>
      <c r="AA365" s="160">
        <f t="shared" si="224"/>
        <v>0.99755809215143521</v>
      </c>
      <c r="AB365" s="160">
        <f t="shared" si="225"/>
        <v>0.17681608569722529</v>
      </c>
      <c r="AC365" s="171" t="e">
        <f t="shared" si="226"/>
        <v>#DIV/0!</v>
      </c>
      <c r="AD365" s="190" t="e">
        <f t="shared" si="227"/>
        <v>#DIV/0!</v>
      </c>
      <c r="AE365" s="169" t="e">
        <f t="shared" si="228"/>
        <v>#DIV/0!</v>
      </c>
      <c r="AF365" s="98" t="str">
        <f t="shared" si="214"/>
        <v>-0.0000182926829268293</v>
      </c>
      <c r="AG365" s="98" t="str">
        <f t="shared" si="215"/>
        <v>0.00412025336710176i</v>
      </c>
      <c r="AH365" s="98">
        <f t="shared" si="229"/>
        <v>4.1202533671017604E-3</v>
      </c>
      <c r="AI365" s="98">
        <f t="shared" si="230"/>
        <v>1.5707963267948966</v>
      </c>
      <c r="AJ365" s="98" t="str">
        <f t="shared" si="216"/>
        <v>1+0.403906809832543i</v>
      </c>
      <c r="AK365" s="98">
        <f t="shared" si="231"/>
        <v>1.0784900143390768</v>
      </c>
      <c r="AL365" s="98">
        <f t="shared" si="232"/>
        <v>0.38386977283796547</v>
      </c>
      <c r="AM365" s="98" t="str">
        <f t="shared" si="217"/>
        <v>1+40.7945877930868i</v>
      </c>
      <c r="AN365" s="98">
        <f t="shared" si="233"/>
        <v>40.806842480249152</v>
      </c>
      <c r="AO365" s="98">
        <f t="shared" si="234"/>
        <v>1.5462881792773462</v>
      </c>
      <c r="AP365" s="168" t="str">
        <f t="shared" si="235"/>
        <v>-0.154170898122536+0.0667103741863115i</v>
      </c>
      <c r="AQ365" s="98">
        <f t="shared" si="236"/>
        <v>-15.494593061408672</v>
      </c>
      <c r="AR365" s="169">
        <f t="shared" si="237"/>
        <v>156.60166871729919</v>
      </c>
      <c r="AS365" s="168" t="e">
        <f t="shared" si="238"/>
        <v>#DIV/0!</v>
      </c>
      <c r="AT365" s="190" t="e">
        <f t="shared" si="239"/>
        <v>#DIV/0!</v>
      </c>
      <c r="AU365" s="169" t="e">
        <f t="shared" si="240"/>
        <v>#DIV/0!</v>
      </c>
      <c r="AV365" s="225"/>
      <c r="AX365" t="e">
        <f t="shared" si="241"/>
        <v>#DIV/0!</v>
      </c>
      <c r="AY365" t="e">
        <f t="shared" si="242"/>
        <v>#DIV/0!</v>
      </c>
    </row>
    <row r="366" spans="14:51" x14ac:dyDescent="0.25">
      <c r="N366" s="170">
        <v>48</v>
      </c>
      <c r="O366" s="199">
        <f t="shared" si="208"/>
        <v>30199.517204020212</v>
      </c>
      <c r="P366" s="189" t="str">
        <f t="shared" si="209"/>
        <v>290</v>
      </c>
      <c r="Q366" s="160" t="e">
        <f t="shared" si="210"/>
        <v>#DIV/0!</v>
      </c>
      <c r="R366" s="160" t="e">
        <f t="shared" si="218"/>
        <v>#DIV/0!</v>
      </c>
      <c r="S366" s="160" t="e">
        <f t="shared" si="219"/>
        <v>#DIV/0!</v>
      </c>
      <c r="T366" s="160" t="e">
        <f t="shared" si="211"/>
        <v>#DIV/0!</v>
      </c>
      <c r="U366" s="160" t="e">
        <f t="shared" si="220"/>
        <v>#DIV/0!</v>
      </c>
      <c r="V366" s="160" t="e">
        <f t="shared" si="221"/>
        <v>#DIV/0!</v>
      </c>
      <c r="W366" s="98" t="str">
        <f t="shared" si="212"/>
        <v>1-1.51206364090486i</v>
      </c>
      <c r="X366" s="160">
        <f t="shared" si="222"/>
        <v>1.8128255443220291</v>
      </c>
      <c r="Y366" s="160">
        <f t="shared" si="223"/>
        <v>-0.98648504323936292</v>
      </c>
      <c r="Z366" s="98" t="str">
        <f t="shared" si="213"/>
        <v>0.981156800839754+0.179553818875683i</v>
      </c>
      <c r="AA366" s="160">
        <f t="shared" si="224"/>
        <v>0.99745087182624803</v>
      </c>
      <c r="AB366" s="160">
        <f t="shared" si="225"/>
        <v>0.18099935635202755</v>
      </c>
      <c r="AC366" s="171" t="e">
        <f t="shared" si="226"/>
        <v>#DIV/0!</v>
      </c>
      <c r="AD366" s="190" t="e">
        <f t="shared" si="227"/>
        <v>#DIV/0!</v>
      </c>
      <c r="AE366" s="169" t="e">
        <f t="shared" si="228"/>
        <v>#DIV/0!</v>
      </c>
      <c r="AF366" s="98" t="str">
        <f t="shared" si="214"/>
        <v>-0.0000182926829268293</v>
      </c>
      <c r="AG366" s="98" t="str">
        <f t="shared" si="215"/>
        <v>0.00421622639697642i</v>
      </c>
      <c r="AH366" s="98">
        <f t="shared" si="229"/>
        <v>4.2162263969764196E-3</v>
      </c>
      <c r="AI366" s="98">
        <f t="shared" si="230"/>
        <v>1.5707963267948966</v>
      </c>
      <c r="AJ366" s="98" t="str">
        <f t="shared" si="216"/>
        <v>1+0.413315008036116i</v>
      </c>
      <c r="AK366" s="98">
        <f t="shared" si="231"/>
        <v>1.0820486568855832</v>
      </c>
      <c r="AL366" s="98">
        <f t="shared" si="232"/>
        <v>0.39193187401638852</v>
      </c>
      <c r="AM366" s="98" t="str">
        <f t="shared" si="217"/>
        <v>1+41.7448158116477i</v>
      </c>
      <c r="AN366" s="98">
        <f t="shared" si="233"/>
        <v>41.756791629007992</v>
      </c>
      <c r="AO366" s="98">
        <f t="shared" si="234"/>
        <v>1.5468458370252165</v>
      </c>
      <c r="AP366" s="168" t="str">
        <f t="shared" si="235"/>
        <v>-0.153158490904788+0.0676413415784643i</v>
      </c>
      <c r="AQ366" s="98">
        <f t="shared" si="236"/>
        <v>-15.523323683945556</v>
      </c>
      <c r="AR366" s="169">
        <f t="shared" si="237"/>
        <v>156.17169578113396</v>
      </c>
      <c r="AS366" s="168" t="e">
        <f t="shared" si="238"/>
        <v>#DIV/0!</v>
      </c>
      <c r="AT366" s="190" t="e">
        <f t="shared" si="239"/>
        <v>#DIV/0!</v>
      </c>
      <c r="AU366" s="169" t="e">
        <f t="shared" si="240"/>
        <v>#DIV/0!</v>
      </c>
      <c r="AV366" s="225"/>
      <c r="AX366" t="e">
        <f t="shared" si="241"/>
        <v>#DIV/0!</v>
      </c>
      <c r="AY366" t="e">
        <f t="shared" si="242"/>
        <v>#DIV/0!</v>
      </c>
    </row>
    <row r="367" spans="14:51" x14ac:dyDescent="0.25">
      <c r="N367" s="170">
        <v>49</v>
      </c>
      <c r="O367" s="199">
        <f t="shared" si="208"/>
        <v>30902.954325135954</v>
      </c>
      <c r="P367" s="189" t="str">
        <f t="shared" si="209"/>
        <v>290</v>
      </c>
      <c r="Q367" s="160" t="e">
        <f t="shared" si="210"/>
        <v>#DIV/0!</v>
      </c>
      <c r="R367" s="160" t="e">
        <f t="shared" si="218"/>
        <v>#DIV/0!</v>
      </c>
      <c r="S367" s="160" t="e">
        <f t="shared" si="219"/>
        <v>#DIV/0!</v>
      </c>
      <c r="T367" s="160" t="e">
        <f t="shared" si="211"/>
        <v>#DIV/0!</v>
      </c>
      <c r="U367" s="160" t="e">
        <f t="shared" si="220"/>
        <v>#DIV/0!</v>
      </c>
      <c r="V367" s="160" t="e">
        <f t="shared" si="221"/>
        <v>#DIV/0!</v>
      </c>
      <c r="W367" s="98" t="str">
        <f t="shared" si="212"/>
        <v>1-1.54728412762046i</v>
      </c>
      <c r="X367" s="160">
        <f t="shared" si="222"/>
        <v>1.8423051244531152</v>
      </c>
      <c r="Y367" s="160">
        <f t="shared" si="223"/>
        <v>-0.99703099623138824</v>
      </c>
      <c r="Z367" s="98" t="str">
        <f t="shared" si="213"/>
        <v>0.980268748222697+0.183736164592734i</v>
      </c>
      <c r="AA367" s="160">
        <f t="shared" si="224"/>
        <v>0.99733935895528636</v>
      </c>
      <c r="AB367" s="160">
        <f t="shared" si="225"/>
        <v>0.18528465593963436</v>
      </c>
      <c r="AC367" s="171" t="e">
        <f t="shared" si="226"/>
        <v>#DIV/0!</v>
      </c>
      <c r="AD367" s="190" t="e">
        <f t="shared" si="227"/>
        <v>#DIV/0!</v>
      </c>
      <c r="AE367" s="169" t="e">
        <f t="shared" si="228"/>
        <v>#DIV/0!</v>
      </c>
      <c r="AF367" s="98" t="str">
        <f t="shared" si="214"/>
        <v>-0.0000182926829268293</v>
      </c>
      <c r="AG367" s="98" t="str">
        <f t="shared" si="215"/>
        <v>0.0043144349258951i</v>
      </c>
      <c r="AH367" s="98">
        <f t="shared" si="229"/>
        <v>4.3144349258951E-3</v>
      </c>
      <c r="AI367" s="98">
        <f t="shared" si="230"/>
        <v>1.5707963267948966</v>
      </c>
      <c r="AJ367" s="98" t="str">
        <f t="shared" si="216"/>
        <v>1+0.422942351327821i</v>
      </c>
      <c r="AK367" s="98">
        <f t="shared" si="231"/>
        <v>1.0857625120378334</v>
      </c>
      <c r="AL367" s="98">
        <f t="shared" si="232"/>
        <v>0.40012651036494007</v>
      </c>
      <c r="AM367" s="98" t="str">
        <f t="shared" si="217"/>
        <v>1+42.7171774841099i</v>
      </c>
      <c r="AN367" s="98">
        <f t="shared" si="233"/>
        <v>42.728880774119808</v>
      </c>
      <c r="AO367" s="98">
        <f t="shared" si="234"/>
        <v>1.5473908153302498</v>
      </c>
      <c r="AP367" s="168" t="str">
        <f t="shared" si="235"/>
        <v>-0.152112524335789+0.0685747079147312i</v>
      </c>
      <c r="AQ367" s="98">
        <f t="shared" si="236"/>
        <v>-15.553196836897181</v>
      </c>
      <c r="AR367" s="169">
        <f t="shared" si="237"/>
        <v>155.73340266052193</v>
      </c>
      <c r="AS367" s="168" t="e">
        <f t="shared" si="238"/>
        <v>#DIV/0!</v>
      </c>
      <c r="AT367" s="190" t="e">
        <f t="shared" si="239"/>
        <v>#DIV/0!</v>
      </c>
      <c r="AU367" s="169" t="e">
        <f t="shared" si="240"/>
        <v>#DIV/0!</v>
      </c>
      <c r="AV367" s="225"/>
      <c r="AX367" t="e">
        <f t="shared" si="241"/>
        <v>#DIV/0!</v>
      </c>
      <c r="AY367" t="e">
        <f t="shared" si="242"/>
        <v>#DIV/0!</v>
      </c>
    </row>
    <row r="368" spans="14:51" x14ac:dyDescent="0.25">
      <c r="N368" s="170">
        <v>50</v>
      </c>
      <c r="O368" s="199">
        <f t="shared" si="208"/>
        <v>31622.77660168384</v>
      </c>
      <c r="P368" s="189" t="str">
        <f t="shared" si="209"/>
        <v>290</v>
      </c>
      <c r="Q368" s="160" t="e">
        <f t="shared" si="210"/>
        <v>#DIV/0!</v>
      </c>
      <c r="R368" s="160" t="e">
        <f t="shared" si="218"/>
        <v>#DIV/0!</v>
      </c>
      <c r="S368" s="160" t="e">
        <f t="shared" si="219"/>
        <v>#DIV/0!</v>
      </c>
      <c r="T368" s="160" t="e">
        <f t="shared" si="211"/>
        <v>#DIV/0!</v>
      </c>
      <c r="U368" s="160" t="e">
        <f t="shared" si="220"/>
        <v>#DIV/0!</v>
      </c>
      <c r="V368" s="160" t="e">
        <f t="shared" si="221"/>
        <v>#DIV/0!</v>
      </c>
      <c r="W368" s="98" t="str">
        <f t="shared" si="212"/>
        <v>1-1.58332500486126i</v>
      </c>
      <c r="X368" s="160">
        <f t="shared" si="222"/>
        <v>1.8726767128949162</v>
      </c>
      <c r="Y368" s="160">
        <f t="shared" si="223"/>
        <v>-1.0074776904425558</v>
      </c>
      <c r="Z368" s="98" t="str">
        <f t="shared" si="213"/>
        <v>0.979338842975207+0.188015929656288i</v>
      </c>
      <c r="AA368" s="160">
        <f t="shared" si="224"/>
        <v>0.99722342489761806</v>
      </c>
      <c r="AB368" s="160">
        <f t="shared" si="225"/>
        <v>0.18967468423073591</v>
      </c>
      <c r="AC368" s="171" t="e">
        <f t="shared" si="226"/>
        <v>#DIV/0!</v>
      </c>
      <c r="AD368" s="190" t="e">
        <f t="shared" si="227"/>
        <v>#DIV/0!</v>
      </c>
      <c r="AE368" s="169" t="e">
        <f t="shared" si="228"/>
        <v>#DIV/0!</v>
      </c>
      <c r="AF368" s="98" t="str">
        <f t="shared" si="214"/>
        <v>-0.0000182926829268293</v>
      </c>
      <c r="AG368" s="98" t="str">
        <f t="shared" si="215"/>
        <v>0.00441493102531979i</v>
      </c>
      <c r="AH368" s="98">
        <f t="shared" si="229"/>
        <v>4.4149310253197901E-3</v>
      </c>
      <c r="AI368" s="98">
        <f t="shared" si="230"/>
        <v>1.5707963267948966</v>
      </c>
      <c r="AJ368" s="98" t="str">
        <f t="shared" si="216"/>
        <v>1+0.432793944252503i</v>
      </c>
      <c r="AK368" s="98">
        <f t="shared" si="231"/>
        <v>1.0896378289053839</v>
      </c>
      <c r="AL368" s="98">
        <f t="shared" si="232"/>
        <v>0.40845362344407271</v>
      </c>
      <c r="AM368" s="98" t="str">
        <f t="shared" si="217"/>
        <v>1+43.7121883695028i</v>
      </c>
      <c r="AN368" s="98">
        <f t="shared" si="233"/>
        <v>43.723625330602403</v>
      </c>
      <c r="AO368" s="98">
        <f t="shared" si="234"/>
        <v>1.5479234018515404</v>
      </c>
      <c r="AP368" s="168" t="str">
        <f t="shared" si="235"/>
        <v>-0.151032466430329+0.0695093046287732i</v>
      </c>
      <c r="AQ368" s="98">
        <f t="shared" si="236"/>
        <v>-15.584250486840185</v>
      </c>
      <c r="AR368" s="169">
        <f t="shared" si="237"/>
        <v>155.2868091854551</v>
      </c>
      <c r="AS368" s="168" t="e">
        <f t="shared" si="238"/>
        <v>#DIV/0!</v>
      </c>
      <c r="AT368" s="190" t="e">
        <f t="shared" si="239"/>
        <v>#DIV/0!</v>
      </c>
      <c r="AU368" s="169" t="e">
        <f t="shared" si="240"/>
        <v>#DIV/0!</v>
      </c>
      <c r="AV368" s="225"/>
      <c r="AX368" t="e">
        <f t="shared" si="241"/>
        <v>#DIV/0!</v>
      </c>
      <c r="AY368" t="e">
        <f t="shared" si="242"/>
        <v>#DIV/0!</v>
      </c>
    </row>
    <row r="369" spans="14:51" x14ac:dyDescent="0.25">
      <c r="N369" s="170">
        <v>51</v>
      </c>
      <c r="O369" s="199">
        <f t="shared" si="208"/>
        <v>32359.365692962871</v>
      </c>
      <c r="P369" s="189" t="str">
        <f t="shared" si="209"/>
        <v>290</v>
      </c>
      <c r="Q369" s="160" t="e">
        <f t="shared" si="210"/>
        <v>#DIV/0!</v>
      </c>
      <c r="R369" s="160" t="e">
        <f t="shared" si="218"/>
        <v>#DIV/0!</v>
      </c>
      <c r="S369" s="160" t="e">
        <f t="shared" si="219"/>
        <v>#DIV/0!</v>
      </c>
      <c r="T369" s="160" t="e">
        <f t="shared" si="211"/>
        <v>#DIV/0!</v>
      </c>
      <c r="U369" s="160" t="e">
        <f t="shared" si="220"/>
        <v>#DIV/0!</v>
      </c>
      <c r="V369" s="160" t="e">
        <f t="shared" si="221"/>
        <v>#DIV/0!</v>
      </c>
      <c r="W369" s="98" t="str">
        <f t="shared" si="212"/>
        <v>1-1.62020538197741i</v>
      </c>
      <c r="X369" s="160">
        <f t="shared" si="222"/>
        <v>1.9039604722232459</v>
      </c>
      <c r="Y369" s="160">
        <f t="shared" si="223"/>
        <v>-1.0178215439192033</v>
      </c>
      <c r="Z369" s="98" t="str">
        <f t="shared" si="213"/>
        <v>0.978365112643577+0.192395383254431i</v>
      </c>
      <c r="AA369" s="160">
        <f t="shared" si="224"/>
        <v>0.99710294209559858</v>
      </c>
      <c r="AB369" s="160">
        <f t="shared" si="225"/>
        <v>0.19417222636638432</v>
      </c>
      <c r="AC369" s="171" t="e">
        <f t="shared" si="226"/>
        <v>#DIV/0!</v>
      </c>
      <c r="AD369" s="190" t="e">
        <f t="shared" si="227"/>
        <v>#DIV/0!</v>
      </c>
      <c r="AE369" s="169" t="e">
        <f t="shared" si="228"/>
        <v>#DIV/0!</v>
      </c>
      <c r="AF369" s="98" t="str">
        <f t="shared" si="214"/>
        <v>-0.0000182926829268293</v>
      </c>
      <c r="AG369" s="98" t="str">
        <f t="shared" si="215"/>
        <v>0.00451776797961263i</v>
      </c>
      <c r="AH369" s="98">
        <f t="shared" si="229"/>
        <v>4.5177679796126304E-3</v>
      </c>
      <c r="AI369" s="98">
        <f t="shared" si="230"/>
        <v>1.5707963267948966</v>
      </c>
      <c r="AJ369" s="98" t="str">
        <f t="shared" si="216"/>
        <v>1+0.442875010255134i</v>
      </c>
      <c r="AK369" s="98">
        <f t="shared" si="231"/>
        <v>1.0936810662658858</v>
      </c>
      <c r="AL369" s="98">
        <f t="shared" si="232"/>
        <v>0.41691300807769505</v>
      </c>
      <c r="AM369" s="98" t="str">
        <f t="shared" si="217"/>
        <v>1+44.7303760357685i</v>
      </c>
      <c r="AN369" s="98">
        <f t="shared" si="233"/>
        <v>44.741552725640325</v>
      </c>
      <c r="AO369" s="98">
        <f t="shared" si="234"/>
        <v>1.5484438777642806</v>
      </c>
      <c r="AP369" s="168" t="str">
        <f t="shared" si="235"/>
        <v>-0.149917824597616+0.0704439113132065i</v>
      </c>
      <c r="AQ369" s="98">
        <f t="shared" si="236"/>
        <v>-15.616523161437545</v>
      </c>
      <c r="AR369" s="169">
        <f t="shared" si="237"/>
        <v>154.83194322180893</v>
      </c>
      <c r="AS369" s="168" t="e">
        <f t="shared" si="238"/>
        <v>#DIV/0!</v>
      </c>
      <c r="AT369" s="190" t="e">
        <f t="shared" si="239"/>
        <v>#DIV/0!</v>
      </c>
      <c r="AU369" s="169" t="e">
        <f t="shared" si="240"/>
        <v>#DIV/0!</v>
      </c>
      <c r="AV369" s="225"/>
      <c r="AX369" t="e">
        <f t="shared" si="241"/>
        <v>#DIV/0!</v>
      </c>
      <c r="AY369" t="e">
        <f t="shared" si="242"/>
        <v>#DIV/0!</v>
      </c>
    </row>
    <row r="370" spans="14:51" x14ac:dyDescent="0.25">
      <c r="N370" s="170">
        <v>52</v>
      </c>
      <c r="O370" s="199">
        <f t="shared" si="208"/>
        <v>33113.11214825909</v>
      </c>
      <c r="P370" s="189" t="str">
        <f t="shared" si="209"/>
        <v>290</v>
      </c>
      <c r="Q370" s="160" t="e">
        <f t="shared" si="210"/>
        <v>#DIV/0!</v>
      </c>
      <c r="R370" s="160" t="e">
        <f t="shared" si="218"/>
        <v>#DIV/0!</v>
      </c>
      <c r="S370" s="160" t="e">
        <f t="shared" si="219"/>
        <v>#DIV/0!</v>
      </c>
      <c r="T370" s="160" t="e">
        <f t="shared" si="211"/>
        <v>#DIV/0!</v>
      </c>
      <c r="U370" s="160" t="e">
        <f t="shared" si="220"/>
        <v>#DIV/0!</v>
      </c>
      <c r="V370" s="160" t="e">
        <f t="shared" si="221"/>
        <v>#DIV/0!</v>
      </c>
      <c r="W370" s="98" t="str">
        <f t="shared" si="212"/>
        <v>1-1.65794481343305i</v>
      </c>
      <c r="X370" s="160">
        <f t="shared" si="222"/>
        <v>1.9361769042082779</v>
      </c>
      <c r="Y370" s="160">
        <f t="shared" si="223"/>
        <v>-1.0280591868108759</v>
      </c>
      <c r="Z370" s="98" t="str">
        <f t="shared" si="213"/>
        <v>0.977345491815224+0.196876847431429i</v>
      </c>
      <c r="AA370" s="160">
        <f t="shared" si="224"/>
        <v>0.99697778482074517</v>
      </c>
      <c r="AB370" s="160">
        <f t="shared" si="225"/>
        <v>0.19878015637225357</v>
      </c>
      <c r="AC370" s="171" t="e">
        <f t="shared" si="226"/>
        <v>#DIV/0!</v>
      </c>
      <c r="AD370" s="190" t="e">
        <f t="shared" si="227"/>
        <v>#DIV/0!</v>
      </c>
      <c r="AE370" s="169" t="e">
        <f t="shared" si="228"/>
        <v>#DIV/0!</v>
      </c>
      <c r="AF370" s="98" t="str">
        <f t="shared" si="214"/>
        <v>-0.0000182926829268293</v>
      </c>
      <c r="AG370" s="98" t="str">
        <f t="shared" si="215"/>
        <v>0.00462300031428798i</v>
      </c>
      <c r="AH370" s="98">
        <f t="shared" si="229"/>
        <v>4.6230003142879797E-3</v>
      </c>
      <c r="AI370" s="98">
        <f t="shared" si="230"/>
        <v>1.5707963267948966</v>
      </c>
      <c r="AJ370" s="98" t="str">
        <f t="shared" si="216"/>
        <v>1+0.453190894450345i</v>
      </c>
      <c r="AK370" s="98">
        <f t="shared" si="231"/>
        <v>1.0978988964438865</v>
      </c>
      <c r="AL370" s="98">
        <f t="shared" si="232"/>
        <v>0.42550430558604713</v>
      </c>
      <c r="AM370" s="98" t="str">
        <f t="shared" si="217"/>
        <v>1+45.7722803394848i</v>
      </c>
      <c r="AN370" s="98">
        <f t="shared" si="233"/>
        <v>45.783202678235462</v>
      </c>
      <c r="AO370" s="98">
        <f t="shared" si="234"/>
        <v>1.548952517903087</v>
      </c>
      <c r="AP370" s="168" t="str">
        <f t="shared" si="235"/>
        <v>-0.148768149867918+0.0713772564079832i</v>
      </c>
      <c r="AQ370" s="98">
        <f t="shared" si="236"/>
        <v>-15.650053903631878</v>
      </c>
      <c r="AR370" s="169">
        <f t="shared" si="237"/>
        <v>154.36884106728357</v>
      </c>
      <c r="AS370" s="168" t="e">
        <f t="shared" si="238"/>
        <v>#DIV/0!</v>
      </c>
      <c r="AT370" s="190" t="e">
        <f t="shared" si="239"/>
        <v>#DIV/0!</v>
      </c>
      <c r="AU370" s="169" t="e">
        <f t="shared" si="240"/>
        <v>#DIV/0!</v>
      </c>
      <c r="AV370" s="225"/>
      <c r="AX370" t="e">
        <f t="shared" si="241"/>
        <v>#DIV/0!</v>
      </c>
      <c r="AY370" t="e">
        <f t="shared" si="242"/>
        <v>#DIV/0!</v>
      </c>
    </row>
    <row r="371" spans="14:51" x14ac:dyDescent="0.25">
      <c r="N371" s="170">
        <v>53</v>
      </c>
      <c r="O371" s="199">
        <f t="shared" si="208"/>
        <v>33884.41561392029</v>
      </c>
      <c r="P371" s="189" t="str">
        <f t="shared" si="209"/>
        <v>290</v>
      </c>
      <c r="Q371" s="160" t="e">
        <f t="shared" si="210"/>
        <v>#DIV/0!</v>
      </c>
      <c r="R371" s="160" t="e">
        <f t="shared" si="218"/>
        <v>#DIV/0!</v>
      </c>
      <c r="S371" s="160" t="e">
        <f t="shared" si="219"/>
        <v>#DIV/0!</v>
      </c>
      <c r="T371" s="160" t="e">
        <f t="shared" si="211"/>
        <v>#DIV/0!</v>
      </c>
      <c r="U371" s="160" t="e">
        <f t="shared" si="220"/>
        <v>#DIV/0!</v>
      </c>
      <c r="V371" s="160" t="e">
        <f t="shared" si="221"/>
        <v>#DIV/0!</v>
      </c>
      <c r="W371" s="98" t="str">
        <f t="shared" si="212"/>
        <v>1-1.69656330917427i</v>
      </c>
      <c r="X371" s="160">
        <f t="shared" si="222"/>
        <v>1.9693468617885346</v>
      </c>
      <c r="Y371" s="160">
        <f t="shared" si="223"/>
        <v>-1.0381874628156231</v>
      </c>
      <c r="Z371" s="98" t="str">
        <f t="shared" si="213"/>
        <v>0.976277817737668+0.201462698318909i</v>
      </c>
      <c r="AA371" s="160">
        <f t="shared" si="224"/>
        <v>0.99684783002249611</v>
      </c>
      <c r="AB371" s="160">
        <f t="shared" si="225"/>
        <v>0.20350144085291003</v>
      </c>
      <c r="AC371" s="171" t="e">
        <f t="shared" si="226"/>
        <v>#DIV/0!</v>
      </c>
      <c r="AD371" s="190" t="e">
        <f t="shared" si="227"/>
        <v>#DIV/0!</v>
      </c>
      <c r="AE371" s="169" t="e">
        <f t="shared" si="228"/>
        <v>#DIV/0!</v>
      </c>
      <c r="AF371" s="98" t="str">
        <f t="shared" si="214"/>
        <v>-0.0000182926829268293</v>
      </c>
      <c r="AG371" s="98" t="str">
        <f t="shared" si="215"/>
        <v>0.00473068382492262i</v>
      </c>
      <c r="AH371" s="98">
        <f t="shared" si="229"/>
        <v>4.7306838249226201E-3</v>
      </c>
      <c r="AI371" s="98">
        <f t="shared" si="230"/>
        <v>1.5707963267948966</v>
      </c>
      <c r="AJ371" s="98" t="str">
        <f t="shared" si="216"/>
        <v>1+0.463747066456487i</v>
      </c>
      <c r="AK371" s="98">
        <f t="shared" si="231"/>
        <v>1.1022982090373719</v>
      </c>
      <c r="AL371" s="98">
        <f t="shared" si="232"/>
        <v>0.43422699713114637</v>
      </c>
      <c r="AM371" s="98" t="str">
        <f t="shared" si="217"/>
        <v>1+46.8384537121052i</v>
      </c>
      <c r="AN371" s="98">
        <f t="shared" si="233"/>
        <v>46.84912748537608</v>
      </c>
      <c r="AO371" s="98">
        <f t="shared" si="234"/>
        <v>1.5494495909023482</v>
      </c>
      <c r="AP371" s="168" t="str">
        <f t="shared" si="235"/>
        <v>-0.147583041214342+0.0723080182150741i</v>
      </c>
      <c r="AQ371" s="98">
        <f t="shared" si="236"/>
        <v>-15.684882221048833</v>
      </c>
      <c r="AR371" s="169">
        <f t="shared" si="237"/>
        <v>153.89754784072261</v>
      </c>
      <c r="AS371" s="168" t="e">
        <f t="shared" si="238"/>
        <v>#DIV/0!</v>
      </c>
      <c r="AT371" s="190" t="e">
        <f t="shared" si="239"/>
        <v>#DIV/0!</v>
      </c>
      <c r="AU371" s="169" t="e">
        <f t="shared" si="240"/>
        <v>#DIV/0!</v>
      </c>
      <c r="AV371" s="225"/>
      <c r="AX371" t="e">
        <f t="shared" si="241"/>
        <v>#DIV/0!</v>
      </c>
      <c r="AY371" t="e">
        <f t="shared" si="242"/>
        <v>#DIV/0!</v>
      </c>
    </row>
    <row r="372" spans="14:51" x14ac:dyDescent="0.25">
      <c r="N372" s="170">
        <v>54</v>
      </c>
      <c r="O372" s="199">
        <f t="shared" si="208"/>
        <v>34673.685045253202</v>
      </c>
      <c r="P372" s="189" t="str">
        <f t="shared" si="209"/>
        <v>290</v>
      </c>
      <c r="Q372" s="160" t="e">
        <f t="shared" si="210"/>
        <v>#DIV/0!</v>
      </c>
      <c r="R372" s="160" t="e">
        <f t="shared" si="218"/>
        <v>#DIV/0!</v>
      </c>
      <c r="S372" s="160" t="e">
        <f t="shared" si="219"/>
        <v>#DIV/0!</v>
      </c>
      <c r="T372" s="160" t="e">
        <f t="shared" si="211"/>
        <v>#DIV/0!</v>
      </c>
      <c r="U372" s="160" t="e">
        <f t="shared" si="220"/>
        <v>#DIV/0!</v>
      </c>
      <c r="V372" s="160" t="e">
        <f t="shared" si="221"/>
        <v>#DIV/0!</v>
      </c>
      <c r="W372" s="98" t="str">
        <f t="shared" si="212"/>
        <v>1-1.73608134523867i</v>
      </c>
      <c r="X372" s="160">
        <f t="shared" si="222"/>
        <v>2.0034915615708768</v>
      </c>
      <c r="Y372" s="160">
        <f t="shared" si="223"/>
        <v>-1.0482034297405309</v>
      </c>
      <c r="Z372" s="98" t="str">
        <f t="shared" si="213"/>
        <v>0.975159825731045+0.206155367395711i</v>
      </c>
      <c r="AA372" s="160">
        <f t="shared" si="224"/>
        <v>0.99671295829133411</v>
      </c>
      <c r="AB372" s="160">
        <f t="shared" si="225"/>
        <v>0.20833914287579289</v>
      </c>
      <c r="AC372" s="171" t="e">
        <f t="shared" si="226"/>
        <v>#DIV/0!</v>
      </c>
      <c r="AD372" s="190" t="e">
        <f t="shared" si="227"/>
        <v>#DIV/0!</v>
      </c>
      <c r="AE372" s="169" t="e">
        <f t="shared" si="228"/>
        <v>#DIV/0!</v>
      </c>
      <c r="AF372" s="98" t="str">
        <f t="shared" si="214"/>
        <v>-0.0000182926829268293</v>
      </c>
      <c r="AG372" s="98" t="str">
        <f t="shared" si="215"/>
        <v>0.00484087560673923i</v>
      </c>
      <c r="AH372" s="98">
        <f t="shared" si="229"/>
        <v>4.8408756067392297E-3</v>
      </c>
      <c r="AI372" s="98">
        <f t="shared" si="230"/>
        <v>1.5707963267948966</v>
      </c>
      <c r="AJ372" s="98" t="str">
        <f t="shared" si="216"/>
        <v>1+0.474549123295679i</v>
      </c>
      <c r="AK372" s="98">
        <f t="shared" si="231"/>
        <v>1.1068861144764159</v>
      </c>
      <c r="AL372" s="98">
        <f t="shared" si="232"/>
        <v>0.44308039721794196</v>
      </c>
      <c r="AM372" s="98" t="str">
        <f t="shared" si="217"/>
        <v>1+47.9294614528635i</v>
      </c>
      <c r="AN372" s="98">
        <f t="shared" si="233"/>
        <v>47.939892314872047</v>
      </c>
      <c r="AO372" s="98">
        <f t="shared" si="234"/>
        <v>1.5499353593336442</v>
      </c>
      <c r="AP372" s="168" t="str">
        <f t="shared" si="235"/>
        <v>-0.146362149946292+0.0732348262603746i</v>
      </c>
      <c r="AQ372" s="98">
        <f t="shared" si="236"/>
        <v>-15.721048030517849</v>
      </c>
      <c r="AR372" s="169">
        <f t="shared" si="237"/>
        <v>153.41811786234243</v>
      </c>
      <c r="AS372" s="168" t="e">
        <f t="shared" si="238"/>
        <v>#DIV/0!</v>
      </c>
      <c r="AT372" s="190" t="e">
        <f t="shared" si="239"/>
        <v>#DIV/0!</v>
      </c>
      <c r="AU372" s="169" t="e">
        <f t="shared" si="240"/>
        <v>#DIV/0!</v>
      </c>
      <c r="AV372" s="225"/>
      <c r="AX372" t="e">
        <f t="shared" si="241"/>
        <v>#DIV/0!</v>
      </c>
      <c r="AY372" t="e">
        <f t="shared" si="242"/>
        <v>#DIV/0!</v>
      </c>
    </row>
    <row r="373" spans="14:51" x14ac:dyDescent="0.25">
      <c r="N373" s="170">
        <v>55</v>
      </c>
      <c r="O373" s="199">
        <f t="shared" si="208"/>
        <v>35481.33892335758</v>
      </c>
      <c r="P373" s="189" t="str">
        <f t="shared" si="209"/>
        <v>290</v>
      </c>
      <c r="Q373" s="160" t="e">
        <f t="shared" si="210"/>
        <v>#DIV/0!</v>
      </c>
      <c r="R373" s="160" t="e">
        <f t="shared" si="218"/>
        <v>#DIV/0!</v>
      </c>
      <c r="S373" s="160" t="e">
        <f t="shared" si="219"/>
        <v>#DIV/0!</v>
      </c>
      <c r="T373" s="160" t="e">
        <f t="shared" si="211"/>
        <v>#DIV/0!</v>
      </c>
      <c r="U373" s="160" t="e">
        <f t="shared" si="220"/>
        <v>#DIV/0!</v>
      </c>
      <c r="V373" s="160" t="e">
        <f t="shared" si="221"/>
        <v>#DIV/0!</v>
      </c>
      <c r="W373" s="98" t="str">
        <f t="shared" si="212"/>
        <v>1-1.77651987461208i</v>
      </c>
      <c r="X373" s="160">
        <f t="shared" si="222"/>
        <v>2.0386325968383123</v>
      </c>
      <c r="Y373" s="160">
        <f t="shared" si="223"/>
        <v>-1.058104359217418</v>
      </c>
      <c r="Z373" s="98" t="str">
        <f t="shared" si="213"/>
        <v>0.973989144384418+0.210957342777096i</v>
      </c>
      <c r="AA373" s="160">
        <f t="shared" si="224"/>
        <v>0.99657305494894044</v>
      </c>
      <c r="AB373" s="160">
        <f t="shared" si="225"/>
        <v>0.21329642605504906</v>
      </c>
      <c r="AC373" s="171" t="e">
        <f t="shared" si="226"/>
        <v>#DIV/0!</v>
      </c>
      <c r="AD373" s="190" t="e">
        <f t="shared" si="227"/>
        <v>#DIV/0!</v>
      </c>
      <c r="AE373" s="169" t="e">
        <f t="shared" si="228"/>
        <v>#DIV/0!</v>
      </c>
      <c r="AF373" s="98" t="str">
        <f t="shared" si="214"/>
        <v>-0.0000182926829268293</v>
      </c>
      <c r="AG373" s="98" t="str">
        <f t="shared" si="215"/>
        <v>0.0049536340848791i</v>
      </c>
      <c r="AH373" s="98">
        <f t="shared" si="229"/>
        <v>4.9536340848790996E-3</v>
      </c>
      <c r="AI373" s="98">
        <f t="shared" si="230"/>
        <v>1.5707963267948966</v>
      </c>
      <c r="AJ373" s="98" t="str">
        <f t="shared" si="216"/>
        <v>1+0.485602792361446i</v>
      </c>
      <c r="AK373" s="98">
        <f t="shared" si="231"/>
        <v>1.1116699473986122</v>
      </c>
      <c r="AL373" s="98">
        <f t="shared" si="232"/>
        <v>0.45206364739701566</v>
      </c>
      <c r="AM373" s="98" t="str">
        <f t="shared" si="217"/>
        <v>1+49.045882028506i</v>
      </c>
      <c r="AN373" s="98">
        <f t="shared" si="233"/>
        <v>49.056075505019031</v>
      </c>
      <c r="AO373" s="98">
        <f t="shared" si="234"/>
        <v>1.5504100798402836</v>
      </c>
      <c r="AP373" s="168" t="str">
        <f t="shared" si="235"/>
        <v>-0.145105184148077+0.0741562630224413i</v>
      </c>
      <c r="AQ373" s="98">
        <f t="shared" si="236"/>
        <v>-15.758591597644745</v>
      </c>
      <c r="AR373" s="169">
        <f t="shared" si="237"/>
        <v>152.93061502224998</v>
      </c>
      <c r="AS373" s="168" t="e">
        <f t="shared" si="238"/>
        <v>#DIV/0!</v>
      </c>
      <c r="AT373" s="190" t="e">
        <f t="shared" si="239"/>
        <v>#DIV/0!</v>
      </c>
      <c r="AU373" s="169" t="e">
        <f t="shared" si="240"/>
        <v>#DIV/0!</v>
      </c>
      <c r="AV373" s="225"/>
      <c r="AX373" t="e">
        <f t="shared" si="241"/>
        <v>#DIV/0!</v>
      </c>
      <c r="AY373" t="e">
        <f t="shared" si="242"/>
        <v>#DIV/0!</v>
      </c>
    </row>
    <row r="374" spans="14:51" x14ac:dyDescent="0.25">
      <c r="N374" s="170">
        <v>56</v>
      </c>
      <c r="O374" s="199">
        <f t="shared" si="208"/>
        <v>36307.805477010232</v>
      </c>
      <c r="P374" s="189" t="str">
        <f t="shared" si="209"/>
        <v>290</v>
      </c>
      <c r="Q374" s="160" t="e">
        <f t="shared" si="210"/>
        <v>#DIV/0!</v>
      </c>
      <c r="R374" s="160" t="e">
        <f t="shared" si="218"/>
        <v>#DIV/0!</v>
      </c>
      <c r="S374" s="160" t="e">
        <f t="shared" si="219"/>
        <v>#DIV/0!</v>
      </c>
      <c r="T374" s="160" t="e">
        <f t="shared" si="211"/>
        <v>#DIV/0!</v>
      </c>
      <c r="U374" s="160" t="e">
        <f t="shared" si="220"/>
        <v>#DIV/0!</v>
      </c>
      <c r="V374" s="160" t="e">
        <f t="shared" si="221"/>
        <v>#DIV/0!</v>
      </c>
      <c r="W374" s="98" t="str">
        <f t="shared" si="212"/>
        <v>1-1.81790033833803i</v>
      </c>
      <c r="X374" s="160">
        <f t="shared" si="222"/>
        <v>2.0747919510470259</v>
      </c>
      <c r="Y374" s="160">
        <f t="shared" si="223"/>
        <v>-1.0678877356179788</v>
      </c>
      <c r="Z374" s="98" t="str">
        <f t="shared" si="213"/>
        <v>0.972763290525694+0.215871170533971i</v>
      </c>
      <c r="AA374" s="160">
        <f t="shared" si="224"/>
        <v>0.99642801127933101</v>
      </c>
      <c r="AB374" s="160">
        <f t="shared" si="225"/>
        <v>0.2183765588457286</v>
      </c>
      <c r="AC374" s="171" t="e">
        <f t="shared" si="226"/>
        <v>#DIV/0!</v>
      </c>
      <c r="AD374" s="190" t="e">
        <f t="shared" si="227"/>
        <v>#DIV/0!</v>
      </c>
      <c r="AE374" s="169" t="e">
        <f t="shared" si="228"/>
        <v>#DIV/0!</v>
      </c>
      <c r="AF374" s="98" t="str">
        <f t="shared" si="214"/>
        <v>-0.0000182926829268293</v>
      </c>
      <c r="AG374" s="98" t="str">
        <f t="shared" si="215"/>
        <v>0.00506901904537987i</v>
      </c>
      <c r="AH374" s="98">
        <f t="shared" si="229"/>
        <v>5.0690190453798701E-3</v>
      </c>
      <c r="AI374" s="98">
        <f t="shared" si="230"/>
        <v>1.5707963267948966</v>
      </c>
      <c r="AJ374" s="98" t="str">
        <f t="shared" si="216"/>
        <v>1+0.496913934455433i</v>
      </c>
      <c r="AK374" s="98">
        <f t="shared" si="231"/>
        <v>1.1166572698263233</v>
      </c>
      <c r="AL374" s="98">
        <f t="shared" si="232"/>
        <v>0.46117571021695081</v>
      </c>
      <c r="AM374" s="98" t="str">
        <f t="shared" si="217"/>
        <v>1+50.1883073799987i</v>
      </c>
      <c r="AN374" s="98">
        <f t="shared" si="233"/>
        <v>50.198268871239286</v>
      </c>
      <c r="AO374" s="98">
        <f t="shared" si="234"/>
        <v>1.5508740032690094</v>
      </c>
      <c r="AP374" s="168" t="str">
        <f t="shared" si="235"/>
        <v>-0.143811913133027+0.0750708660458853i</v>
      </c>
      <c r="AQ374" s="98">
        <f t="shared" si="236"/>
        <v>-15.797553471404678</v>
      </c>
      <c r="AR374" s="169">
        <f t="shared" si="237"/>
        <v>152.43511313449301</v>
      </c>
      <c r="AS374" s="168" t="e">
        <f t="shared" si="238"/>
        <v>#DIV/0!</v>
      </c>
      <c r="AT374" s="190" t="e">
        <f t="shared" si="239"/>
        <v>#DIV/0!</v>
      </c>
      <c r="AU374" s="169" t="e">
        <f t="shared" si="240"/>
        <v>#DIV/0!</v>
      </c>
      <c r="AV374" s="225"/>
      <c r="AX374" t="e">
        <f t="shared" si="241"/>
        <v>#DIV/0!</v>
      </c>
      <c r="AY374" t="e">
        <f t="shared" si="242"/>
        <v>#DIV/0!</v>
      </c>
    </row>
    <row r="375" spans="14:51" x14ac:dyDescent="0.25">
      <c r="N375" s="170">
        <v>57</v>
      </c>
      <c r="O375" s="199">
        <f t="shared" si="208"/>
        <v>37153.522909717351</v>
      </c>
      <c r="P375" s="189" t="str">
        <f t="shared" si="209"/>
        <v>290</v>
      </c>
      <c r="Q375" s="160" t="e">
        <f t="shared" si="210"/>
        <v>#DIV/0!</v>
      </c>
      <c r="R375" s="160" t="e">
        <f t="shared" si="218"/>
        <v>#DIV/0!</v>
      </c>
      <c r="S375" s="160" t="e">
        <f t="shared" si="219"/>
        <v>#DIV/0!</v>
      </c>
      <c r="T375" s="160" t="e">
        <f t="shared" si="211"/>
        <v>#DIV/0!</v>
      </c>
      <c r="U375" s="160" t="e">
        <f t="shared" si="220"/>
        <v>#DIV/0!</v>
      </c>
      <c r="V375" s="160" t="e">
        <f t="shared" si="221"/>
        <v>#DIV/0!</v>
      </c>
      <c r="W375" s="98" t="str">
        <f t="shared" si="212"/>
        <v>1-1.86024467688611i</v>
      </c>
      <c r="X375" s="160">
        <f t="shared" si="222"/>
        <v>2.1119920117943414</v>
      </c>
      <c r="Y375" s="160">
        <f t="shared" si="223"/>
        <v>-1.0775512542163903</v>
      </c>
      <c r="Z375" s="98" t="str">
        <f t="shared" si="213"/>
        <v>0.971479663954486+0.220899456042856i</v>
      </c>
      <c r="AA375" s="160">
        <f t="shared" si="224"/>
        <v>0.99627772591639874</v>
      </c>
      <c r="AB375" s="160">
        <f t="shared" si="225"/>
        <v>0.22358291905928288</v>
      </c>
      <c r="AC375" s="171" t="e">
        <f t="shared" si="226"/>
        <v>#DIV/0!</v>
      </c>
      <c r="AD375" s="190" t="e">
        <f t="shared" si="227"/>
        <v>#DIV/0!</v>
      </c>
      <c r="AE375" s="169" t="e">
        <f t="shared" si="228"/>
        <v>#DIV/0!</v>
      </c>
      <c r="AF375" s="98" t="str">
        <f t="shared" si="214"/>
        <v>-0.0000182926829268293</v>
      </c>
      <c r="AG375" s="98" t="str">
        <f t="shared" si="215"/>
        <v>0.0051870916668749i</v>
      </c>
      <c r="AH375" s="98">
        <f t="shared" si="229"/>
        <v>5.1870916668749004E-3</v>
      </c>
      <c r="AI375" s="98">
        <f t="shared" si="230"/>
        <v>1.5707963267948966</v>
      </c>
      <c r="AJ375" s="98" t="str">
        <f t="shared" si="216"/>
        <v>1+0.508488546894902i</v>
      </c>
      <c r="AK375" s="98">
        <f t="shared" si="231"/>
        <v>1.1218558741314719</v>
      </c>
      <c r="AL375" s="98">
        <f t="shared" si="232"/>
        <v>0.4704153634768008</v>
      </c>
      <c r="AM375" s="98" t="str">
        <f t="shared" si="217"/>
        <v>1+51.3573432363851i</v>
      </c>
      <c r="AN375" s="98">
        <f t="shared" si="233"/>
        <v>51.367078019874462</v>
      </c>
      <c r="AO375" s="98">
        <f t="shared" si="234"/>
        <v>1.5513273747989231</v>
      </c>
      <c r="AP375" s="168" t="str">
        <f t="shared" si="235"/>
        <v>-0.142482171880491+0.0759771304551285i</v>
      </c>
      <c r="AQ375" s="98">
        <f t="shared" si="236"/>
        <v>-15.837974413755497</v>
      </c>
      <c r="AR375" s="169">
        <f t="shared" si="237"/>
        <v>151.93169627375457</v>
      </c>
      <c r="AS375" s="168" t="e">
        <f t="shared" si="238"/>
        <v>#DIV/0!</v>
      </c>
      <c r="AT375" s="190" t="e">
        <f t="shared" si="239"/>
        <v>#DIV/0!</v>
      </c>
      <c r="AU375" s="169" t="e">
        <f t="shared" si="240"/>
        <v>#DIV/0!</v>
      </c>
      <c r="AV375" s="225"/>
      <c r="AX375" t="e">
        <f t="shared" si="241"/>
        <v>#DIV/0!</v>
      </c>
      <c r="AY375" t="e">
        <f t="shared" si="242"/>
        <v>#DIV/0!</v>
      </c>
    </row>
    <row r="376" spans="14:51" x14ac:dyDescent="0.25">
      <c r="N376" s="170">
        <v>58</v>
      </c>
      <c r="O376" s="199">
        <f t="shared" si="208"/>
        <v>38018.939632056143</v>
      </c>
      <c r="P376" s="189" t="str">
        <f t="shared" si="209"/>
        <v>290</v>
      </c>
      <c r="Q376" s="160" t="e">
        <f t="shared" si="210"/>
        <v>#DIV/0!</v>
      </c>
      <c r="R376" s="160" t="e">
        <f t="shared" si="218"/>
        <v>#DIV/0!</v>
      </c>
      <c r="S376" s="160" t="e">
        <f t="shared" si="219"/>
        <v>#DIV/0!</v>
      </c>
      <c r="T376" s="160" t="e">
        <f t="shared" si="211"/>
        <v>#DIV/0!</v>
      </c>
      <c r="U376" s="160" t="e">
        <f t="shared" si="220"/>
        <v>#DIV/0!</v>
      </c>
      <c r="V376" s="160" t="e">
        <f t="shared" si="221"/>
        <v>#DIV/0!</v>
      </c>
      <c r="W376" s="98" t="str">
        <f t="shared" si="212"/>
        <v>1-1.90357534178514i</v>
      </c>
      <c r="X376" s="160">
        <f t="shared" si="222"/>
        <v>2.1502555852392087</v>
      </c>
      <c r="Y376" s="160">
        <f t="shared" si="223"/>
        <v>-1.0870928186501907</v>
      </c>
      <c r="Z376" s="98" t="str">
        <f t="shared" si="213"/>
        <v>0.970135541926737+0.226044865367285i</v>
      </c>
      <c r="AA376" s="160">
        <f t="shared" si="224"/>
        <v>0.99612210640483112</v>
      </c>
      <c r="AB376" s="160">
        <f t="shared" si="225"/>
        <v>0.22891899861163381</v>
      </c>
      <c r="AC376" s="171" t="e">
        <f t="shared" si="226"/>
        <v>#DIV/0!</v>
      </c>
      <c r="AD376" s="190" t="e">
        <f t="shared" si="227"/>
        <v>#DIV/0!</v>
      </c>
      <c r="AE376" s="169" t="e">
        <f t="shared" si="228"/>
        <v>#DIV/0!</v>
      </c>
      <c r="AF376" s="98" t="str">
        <f t="shared" si="214"/>
        <v>-0.0000182926829268293</v>
      </c>
      <c r="AG376" s="98" t="str">
        <f t="shared" si="215"/>
        <v>0.00530791455303097i</v>
      </c>
      <c r="AH376" s="98">
        <f t="shared" si="229"/>
        <v>5.3079145530309704E-3</v>
      </c>
      <c r="AI376" s="98">
        <f t="shared" si="230"/>
        <v>1.5707963267948966</v>
      </c>
      <c r="AJ376" s="98" t="str">
        <f t="shared" si="216"/>
        <v>1+0.520332766692577i</v>
      </c>
      <c r="AK376" s="98">
        <f t="shared" si="231"/>
        <v>1.1272737857743131</v>
      </c>
      <c r="AL376" s="98">
        <f t="shared" si="232"/>
        <v>0.4797811948307944</v>
      </c>
      <c r="AM376" s="98" t="str">
        <f t="shared" si="217"/>
        <v>1+52.5536094359502i</v>
      </c>
      <c r="AN376" s="98">
        <f t="shared" si="233"/>
        <v>52.563122669285868</v>
      </c>
      <c r="AO376" s="98">
        <f t="shared" si="234"/>
        <v>1.5517704340676748</v>
      </c>
      <c r="AP376" s="168" t="str">
        <f t="shared" si="235"/>
        <v>-0.141115865420156+0.0768735118815636i</v>
      </c>
      <c r="AQ376" s="98">
        <f t="shared" si="236"/>
        <v>-15.879895324311173</v>
      </c>
      <c r="AR376" s="169">
        <f t="shared" si="237"/>
        <v>151.42045909171321</v>
      </c>
      <c r="AS376" s="168" t="e">
        <f t="shared" si="238"/>
        <v>#DIV/0!</v>
      </c>
      <c r="AT376" s="190" t="e">
        <f t="shared" si="239"/>
        <v>#DIV/0!</v>
      </c>
      <c r="AU376" s="169" t="e">
        <f t="shared" si="240"/>
        <v>#DIV/0!</v>
      </c>
      <c r="AV376" s="225"/>
      <c r="AX376" t="e">
        <f t="shared" si="241"/>
        <v>#DIV/0!</v>
      </c>
      <c r="AY376" t="e">
        <f t="shared" si="242"/>
        <v>#DIV/0!</v>
      </c>
    </row>
    <row r="377" spans="14:51" x14ac:dyDescent="0.25">
      <c r="N377" s="170">
        <v>59</v>
      </c>
      <c r="O377" s="199">
        <f t="shared" si="208"/>
        <v>38904.514499428085</v>
      </c>
      <c r="P377" s="189" t="str">
        <f t="shared" si="209"/>
        <v>290</v>
      </c>
      <c r="Q377" s="160" t="e">
        <f t="shared" si="210"/>
        <v>#DIV/0!</v>
      </c>
      <c r="R377" s="160" t="e">
        <f t="shared" si="218"/>
        <v>#DIV/0!</v>
      </c>
      <c r="S377" s="160" t="e">
        <f t="shared" si="219"/>
        <v>#DIV/0!</v>
      </c>
      <c r="T377" s="160" t="e">
        <f t="shared" si="211"/>
        <v>#DIV/0!</v>
      </c>
      <c r="U377" s="160" t="e">
        <f t="shared" si="220"/>
        <v>#DIV/0!</v>
      </c>
      <c r="V377" s="160" t="e">
        <f t="shared" si="221"/>
        <v>#DIV/0!</v>
      </c>
      <c r="W377" s="98" t="str">
        <f t="shared" si="212"/>
        <v>1-1.94791530752717i</v>
      </c>
      <c r="X377" s="160">
        <f t="shared" si="222"/>
        <v>2.1896059109571908</v>
      </c>
      <c r="Y377" s="160">
        <f t="shared" si="223"/>
        <v>-1.0965105377323769</v>
      </c>
      <c r="Z377" s="98" t="str">
        <f t="shared" si="213"/>
        <v>0.968728073379417+0.231310126671389i</v>
      </c>
      <c r="AA377" s="160">
        <f t="shared" si="224"/>
        <v>0.99596107095314279</v>
      </c>
      <c r="AB377" s="160">
        <f t="shared" si="225"/>
        <v>0.23438840851545631</v>
      </c>
      <c r="AC377" s="171" t="e">
        <f t="shared" si="226"/>
        <v>#DIV/0!</v>
      </c>
      <c r="AD377" s="190" t="e">
        <f t="shared" si="227"/>
        <v>#DIV/0!</v>
      </c>
      <c r="AE377" s="169" t="e">
        <f t="shared" si="228"/>
        <v>#DIV/0!</v>
      </c>
      <c r="AF377" s="98" t="str">
        <f t="shared" si="214"/>
        <v>-0.0000182926829268293</v>
      </c>
      <c r="AG377" s="98" t="str">
        <f t="shared" si="215"/>
        <v>0.00543155176574163i</v>
      </c>
      <c r="AH377" s="98">
        <f t="shared" si="229"/>
        <v>5.4315517657416296E-3</v>
      </c>
      <c r="AI377" s="98">
        <f t="shared" si="230"/>
        <v>1.5707963267948966</v>
      </c>
      <c r="AJ377" s="98" t="str">
        <f t="shared" si="216"/>
        <v>1+0.532452873810571i</v>
      </c>
      <c r="AK377" s="98">
        <f t="shared" si="231"/>
        <v>1.1329192658036742</v>
      </c>
      <c r="AL377" s="98">
        <f t="shared" si="232"/>
        <v>0.489271596799009</v>
      </c>
      <c r="AM377" s="98" t="str">
        <f t="shared" si="217"/>
        <v>1+53.7777402548676i</v>
      </c>
      <c r="AN377" s="98">
        <f t="shared" si="233"/>
        <v>53.787036978439403</v>
      </c>
      <c r="AO377" s="98">
        <f t="shared" si="234"/>
        <v>1.5522034152949684</v>
      </c>
      <c r="AP377" s="168" t="str">
        <f t="shared" si="235"/>
        <v>-0.139712973125327+0.0777584298141407i</v>
      </c>
      <c r="AQ377" s="98">
        <f t="shared" si="236"/>
        <v>-15.923357160157057</v>
      </c>
      <c r="AR377" s="169">
        <f t="shared" si="237"/>
        <v>150.9015071099841</v>
      </c>
      <c r="AS377" s="168" t="e">
        <f t="shared" si="238"/>
        <v>#DIV/0!</v>
      </c>
      <c r="AT377" s="190" t="e">
        <f t="shared" si="239"/>
        <v>#DIV/0!</v>
      </c>
      <c r="AU377" s="169" t="e">
        <f t="shared" si="240"/>
        <v>#DIV/0!</v>
      </c>
      <c r="AV377" s="225"/>
      <c r="AX377" t="e">
        <f t="shared" si="241"/>
        <v>#DIV/0!</v>
      </c>
      <c r="AY377" t="e">
        <f t="shared" si="242"/>
        <v>#DIV/0!</v>
      </c>
    </row>
    <row r="378" spans="14:51" x14ac:dyDescent="0.25">
      <c r="N378" s="170">
        <v>60</v>
      </c>
      <c r="O378" s="199">
        <f t="shared" si="208"/>
        <v>39810.717055349742</v>
      </c>
      <c r="P378" s="189" t="str">
        <f t="shared" si="209"/>
        <v>290</v>
      </c>
      <c r="Q378" s="160" t="e">
        <f t="shared" si="210"/>
        <v>#DIV/0!</v>
      </c>
      <c r="R378" s="160" t="e">
        <f t="shared" si="218"/>
        <v>#DIV/0!</v>
      </c>
      <c r="S378" s="160" t="e">
        <f t="shared" si="219"/>
        <v>#DIV/0!</v>
      </c>
      <c r="T378" s="160" t="e">
        <f t="shared" si="211"/>
        <v>#DIV/0!</v>
      </c>
      <c r="U378" s="160" t="e">
        <f t="shared" si="220"/>
        <v>#DIV/0!</v>
      </c>
      <c r="V378" s="160" t="e">
        <f t="shared" si="221"/>
        <v>#DIV/0!</v>
      </c>
      <c r="W378" s="98" t="str">
        <f t="shared" si="212"/>
        <v>1-1.99328808374896i</v>
      </c>
      <c r="X378" s="160">
        <f t="shared" si="222"/>
        <v>2.2300666772129487</v>
      </c>
      <c r="Y378" s="160">
        <f t="shared" si="223"/>
        <v>-1.1058027216692448</v>
      </c>
      <c r="Z378" s="98" t="str">
        <f t="shared" si="213"/>
        <v>0.967254272883035+0.236698031666406i</v>
      </c>
      <c r="AA378" s="160">
        <f t="shared" si="224"/>
        <v>0.99579455039944842</v>
      </c>
      <c r="AB378" s="160">
        <f t="shared" si="225"/>
        <v>0.23999488412860326</v>
      </c>
      <c r="AC378" s="171" t="e">
        <f t="shared" si="226"/>
        <v>#DIV/0!</v>
      </c>
      <c r="AD378" s="190" t="e">
        <f t="shared" si="227"/>
        <v>#DIV/0!</v>
      </c>
      <c r="AE378" s="169" t="e">
        <f t="shared" si="228"/>
        <v>#DIV/0!</v>
      </c>
      <c r="AF378" s="98" t="str">
        <f t="shared" si="214"/>
        <v>-0.0000182926829268293</v>
      </c>
      <c r="AG378" s="98" t="str">
        <f t="shared" si="215"/>
        <v>0.00555806885909356i</v>
      </c>
      <c r="AH378" s="98">
        <f t="shared" si="229"/>
        <v>5.5580688590935604E-3</v>
      </c>
      <c r="AI378" s="98">
        <f t="shared" si="230"/>
        <v>1.5707963267948966</v>
      </c>
      <c r="AJ378" s="98" t="str">
        <f t="shared" si="216"/>
        <v>1+0.544855294490105i</v>
      </c>
      <c r="AK378" s="98">
        <f t="shared" si="231"/>
        <v>1.1388008131073226</v>
      </c>
      <c r="AL378" s="98">
        <f t="shared" si="232"/>
        <v>0.49888476223875683</v>
      </c>
      <c r="AM378" s="98" t="str">
        <f t="shared" si="217"/>
        <v>1+55.0303847435005i</v>
      </c>
      <c r="AN378" s="98">
        <f t="shared" si="233"/>
        <v>55.039469883145607</v>
      </c>
      <c r="AO378" s="98">
        <f t="shared" si="234"/>
        <v>1.5526265474034322</v>
      </c>
      <c r="AP378" s="168" t="str">
        <f t="shared" si="235"/>
        <v>-0.138273552874354+0.07863027137986i</v>
      </c>
      <c r="AQ378" s="98">
        <f t="shared" si="236"/>
        <v>-15.968400850929649</v>
      </c>
      <c r="AR378" s="169">
        <f t="shared" si="237"/>
        <v>150.37495698651711</v>
      </c>
      <c r="AS378" s="168" t="e">
        <f t="shared" si="238"/>
        <v>#DIV/0!</v>
      </c>
      <c r="AT378" s="190" t="e">
        <f t="shared" si="239"/>
        <v>#DIV/0!</v>
      </c>
      <c r="AU378" s="169" t="e">
        <f t="shared" si="240"/>
        <v>#DIV/0!</v>
      </c>
      <c r="AV378" s="225"/>
      <c r="AX378" t="e">
        <f t="shared" si="241"/>
        <v>#DIV/0!</v>
      </c>
      <c r="AY378" t="e">
        <f t="shared" si="242"/>
        <v>#DIV/0!</v>
      </c>
    </row>
    <row r="379" spans="14:51" x14ac:dyDescent="0.25">
      <c r="N379" s="170">
        <v>61</v>
      </c>
      <c r="O379" s="199">
        <f t="shared" si="208"/>
        <v>40738.027780411358</v>
      </c>
      <c r="P379" s="189" t="str">
        <f t="shared" si="209"/>
        <v>290</v>
      </c>
      <c r="Q379" s="160" t="e">
        <f t="shared" si="210"/>
        <v>#DIV/0!</v>
      </c>
      <c r="R379" s="160" t="e">
        <f t="shared" si="218"/>
        <v>#DIV/0!</v>
      </c>
      <c r="S379" s="160" t="e">
        <f t="shared" si="219"/>
        <v>#DIV/0!</v>
      </c>
      <c r="T379" s="160" t="e">
        <f t="shared" si="211"/>
        <v>#DIV/0!</v>
      </c>
      <c r="U379" s="160" t="e">
        <f t="shared" si="220"/>
        <v>#DIV/0!</v>
      </c>
      <c r="V379" s="160" t="e">
        <f t="shared" si="221"/>
        <v>#DIV/0!</v>
      </c>
      <c r="W379" s="98" t="str">
        <f t="shared" si="212"/>
        <v>1-2.03971772769705i</v>
      </c>
      <c r="X379" s="160">
        <f t="shared" si="222"/>
        <v>2.2716620366334461</v>
      </c>
      <c r="Y379" s="160">
        <f t="shared" si="223"/>
        <v>-1.1149678777391294</v>
      </c>
      <c r="Z379" s="98" t="str">
        <f t="shared" si="213"/>
        <v>0.965711014309141+0.242211437090881i</v>
      </c>
      <c r="AA379" s="160">
        <f t="shared" si="224"/>
        <v>0.99562249041271644</v>
      </c>
      <c r="AB379" s="160">
        <f t="shared" si="225"/>
        <v>0.24574229067085196</v>
      </c>
      <c r="AC379" s="171" t="e">
        <f t="shared" si="226"/>
        <v>#DIV/0!</v>
      </c>
      <c r="AD379" s="190" t="e">
        <f t="shared" si="227"/>
        <v>#DIV/0!</v>
      </c>
      <c r="AE379" s="169" t="e">
        <f t="shared" si="228"/>
        <v>#DIV/0!</v>
      </c>
      <c r="AF379" s="98" t="str">
        <f t="shared" si="214"/>
        <v>-0.0000182926829268293</v>
      </c>
      <c r="AG379" s="98" t="str">
        <f t="shared" si="215"/>
        <v>0.00568753291412434i</v>
      </c>
      <c r="AH379" s="98">
        <f t="shared" si="229"/>
        <v>5.6875329141243399E-3</v>
      </c>
      <c r="AI379" s="98">
        <f t="shared" si="230"/>
        <v>1.5707963267948966</v>
      </c>
      <c r="AJ379" s="98" t="str">
        <f t="shared" si="216"/>
        <v>1+0.557546604658791i</v>
      </c>
      <c r="AK379" s="98">
        <f t="shared" si="231"/>
        <v>1.1449271664025384</v>
      </c>
      <c r="AL379" s="98">
        <f t="shared" si="232"/>
        <v>0.50861868033203217</v>
      </c>
      <c r="AM379" s="98" t="str">
        <f t="shared" si="217"/>
        <v>1+56.3122070705378i</v>
      </c>
      <c r="AN379" s="98">
        <f t="shared" si="233"/>
        <v>56.321085440136258</v>
      </c>
      <c r="AO379" s="98">
        <f t="shared" si="234"/>
        <v>1.5530400541369</v>
      </c>
      <c r="AP379" s="168" t="str">
        <f t="shared" si="235"/>
        <v>-0.136797745037057+0.0794873955566981i</v>
      </c>
      <c r="AQ379" s="98">
        <f t="shared" si="236"/>
        <v>-16.015067209335079</v>
      </c>
      <c r="AR379" s="169">
        <f t="shared" si="237"/>
        <v>149.84093675227433</v>
      </c>
      <c r="AS379" s="168" t="e">
        <f t="shared" si="238"/>
        <v>#DIV/0!</v>
      </c>
      <c r="AT379" s="190" t="e">
        <f t="shared" si="239"/>
        <v>#DIV/0!</v>
      </c>
      <c r="AU379" s="169" t="e">
        <f t="shared" si="240"/>
        <v>#DIV/0!</v>
      </c>
      <c r="AV379" s="225"/>
      <c r="AX379" t="e">
        <f t="shared" si="241"/>
        <v>#DIV/0!</v>
      </c>
      <c r="AY379" t="e">
        <f t="shared" si="242"/>
        <v>#DIV/0!</v>
      </c>
    </row>
    <row r="380" spans="14:51" x14ac:dyDescent="0.25">
      <c r="N380" s="170">
        <v>62</v>
      </c>
      <c r="O380" s="199">
        <f t="shared" si="208"/>
        <v>41686.938347033625</v>
      </c>
      <c r="P380" s="189" t="str">
        <f t="shared" si="209"/>
        <v>290</v>
      </c>
      <c r="Q380" s="160" t="e">
        <f t="shared" si="210"/>
        <v>#DIV/0!</v>
      </c>
      <c r="R380" s="160" t="e">
        <f t="shared" si="218"/>
        <v>#DIV/0!</v>
      </c>
      <c r="S380" s="160" t="e">
        <f t="shared" si="219"/>
        <v>#DIV/0!</v>
      </c>
      <c r="T380" s="160" t="e">
        <f t="shared" si="211"/>
        <v>#DIV/0!</v>
      </c>
      <c r="U380" s="160" t="e">
        <f t="shared" si="220"/>
        <v>#DIV/0!</v>
      </c>
      <c r="V380" s="160" t="e">
        <f t="shared" si="221"/>
        <v>#DIV/0!</v>
      </c>
      <c r="W380" s="98" t="str">
        <f t="shared" si="212"/>
        <v>1-2.08722885698321i</v>
      </c>
      <c r="X380" s="160">
        <f t="shared" si="222"/>
        <v>2.3144166222664917</v>
      </c>
      <c r="Y380" s="160">
        <f t="shared" si="223"/>
        <v>-1.124004705487522</v>
      </c>
      <c r="Z380" s="98" t="str">
        <f t="shared" si="213"/>
        <v>0.964095024199393+0.24785326622535i</v>
      </c>
      <c r="AA380" s="160">
        <f t="shared" si="224"/>
        <v>0.99544485395455351</v>
      </c>
      <c r="AB380" s="160">
        <f t="shared" si="225"/>
        <v>0.25163462902134648</v>
      </c>
      <c r="AC380" s="171" t="e">
        <f t="shared" si="226"/>
        <v>#DIV/0!</v>
      </c>
      <c r="AD380" s="190" t="e">
        <f t="shared" si="227"/>
        <v>#DIV/0!</v>
      </c>
      <c r="AE380" s="169" t="e">
        <f t="shared" si="228"/>
        <v>#DIV/0!</v>
      </c>
      <c r="AF380" s="98" t="str">
        <f t="shared" si="214"/>
        <v>-0.0000182926829268293</v>
      </c>
      <c r="AG380" s="98" t="str">
        <f t="shared" si="215"/>
        <v>0.00582001257438957i</v>
      </c>
      <c r="AH380" s="98">
        <f t="shared" si="229"/>
        <v>5.82001257438957E-3</v>
      </c>
      <c r="AI380" s="98">
        <f t="shared" si="230"/>
        <v>1.5707963267948966</v>
      </c>
      <c r="AJ380" s="98" t="str">
        <f t="shared" si="216"/>
        <v>1+0.57053353341727i</v>
      </c>
      <c r="AK380" s="98">
        <f t="shared" si="231"/>
        <v>1.1513073059585763</v>
      </c>
      <c r="AL380" s="98">
        <f t="shared" si="232"/>
        <v>0.51847113314439686</v>
      </c>
      <c r="AM380" s="98" t="str">
        <f t="shared" si="217"/>
        <v>1+57.6238868751442i</v>
      </c>
      <c r="AN380" s="98">
        <f t="shared" si="233"/>
        <v>57.632563179156065</v>
      </c>
      <c r="AO380" s="98">
        <f t="shared" si="234"/>
        <v>1.5534441541761537</v>
      </c>
      <c r="AP380" s="168" t="str">
        <f t="shared" si="235"/>
        <v>-0.13528577624124+0.0803281378171081i</v>
      </c>
      <c r="AQ380" s="98">
        <f t="shared" si="236"/>
        <v>-16.063396837324607</v>
      </c>
      <c r="AR380" s="169">
        <f t="shared" si="237"/>
        <v>149.29958601502423</v>
      </c>
      <c r="AS380" s="168" t="e">
        <f t="shared" si="238"/>
        <v>#DIV/0!</v>
      </c>
      <c r="AT380" s="190" t="e">
        <f t="shared" si="239"/>
        <v>#DIV/0!</v>
      </c>
      <c r="AU380" s="169" t="e">
        <f t="shared" si="240"/>
        <v>#DIV/0!</v>
      </c>
      <c r="AV380" s="225"/>
      <c r="AX380" t="e">
        <f t="shared" si="241"/>
        <v>#DIV/0!</v>
      </c>
      <c r="AY380" t="e">
        <f t="shared" si="242"/>
        <v>#DIV/0!</v>
      </c>
    </row>
    <row r="381" spans="14:51" x14ac:dyDescent="0.25">
      <c r="N381" s="170">
        <v>63</v>
      </c>
      <c r="O381" s="199">
        <f t="shared" si="208"/>
        <v>42657.951880159271</v>
      </c>
      <c r="P381" s="189" t="str">
        <f t="shared" si="209"/>
        <v>290</v>
      </c>
      <c r="Q381" s="160" t="e">
        <f t="shared" si="210"/>
        <v>#DIV/0!</v>
      </c>
      <c r="R381" s="160" t="e">
        <f t="shared" si="218"/>
        <v>#DIV/0!</v>
      </c>
      <c r="S381" s="160" t="e">
        <f t="shared" si="219"/>
        <v>#DIV/0!</v>
      </c>
      <c r="T381" s="160" t="e">
        <f t="shared" si="211"/>
        <v>#DIV/0!</v>
      </c>
      <c r="U381" s="160" t="e">
        <f t="shared" si="220"/>
        <v>#DIV/0!</v>
      </c>
      <c r="V381" s="160" t="e">
        <f t="shared" si="221"/>
        <v>#DIV/0!</v>
      </c>
      <c r="W381" s="98" t="str">
        <f t="shared" si="212"/>
        <v>1-2.13584666263709i</v>
      </c>
      <c r="X381" s="160">
        <f t="shared" si="222"/>
        <v>2.3583555640102269</v>
      </c>
      <c r="Y381" s="160">
        <f t="shared" si="223"/>
        <v>-1.1329120914936308</v>
      </c>
      <c r="Z381" s="98" t="str">
        <f t="shared" si="213"/>
        <v>0.962402874822108+0.253626510442296i</v>
      </c>
      <c r="AA381" s="160">
        <f t="shared" si="224"/>
        <v>0.99526162402907614</v>
      </c>
      <c r="AB381" s="160">
        <f t="shared" si="225"/>
        <v>0.2576760418091979</v>
      </c>
      <c r="AC381" s="171" t="e">
        <f t="shared" si="226"/>
        <v>#DIV/0!</v>
      </c>
      <c r="AD381" s="190" t="e">
        <f t="shared" si="227"/>
        <v>#DIV/0!</v>
      </c>
      <c r="AE381" s="169" t="e">
        <f t="shared" si="228"/>
        <v>#DIV/0!</v>
      </c>
      <c r="AF381" s="98" t="str">
        <f t="shared" si="214"/>
        <v>-0.0000182926829268293</v>
      </c>
      <c r="AG381" s="98" t="str">
        <f t="shared" si="215"/>
        <v>0.00595557808235871i</v>
      </c>
      <c r="AH381" s="98">
        <f t="shared" si="229"/>
        <v>5.9555780823587097E-3</v>
      </c>
      <c r="AI381" s="98">
        <f t="shared" si="230"/>
        <v>1.5707963267948966</v>
      </c>
      <c r="AJ381" s="98" t="str">
        <f t="shared" si="216"/>
        <v>1+0.58382296660707i</v>
      </c>
      <c r="AK381" s="98">
        <f t="shared" si="231"/>
        <v>1.1579504550445499</v>
      </c>
      <c r="AL381" s="98">
        <f t="shared" si="232"/>
        <v>0.52843969281016945</v>
      </c>
      <c r="AM381" s="98" t="str">
        <f t="shared" si="217"/>
        <v>1+58.966119627314i</v>
      </c>
      <c r="AN381" s="98">
        <f t="shared" si="233"/>
        <v>58.974598463259632</v>
      </c>
      <c r="AO381" s="98">
        <f t="shared" si="234"/>
        <v>1.5538390612521744</v>
      </c>
      <c r="AP381" s="168" t="str">
        <f t="shared" si="235"/>
        <v>-0.133737962872878+0.0811508151954437i</v>
      </c>
      <c r="AQ381" s="98">
        <f t="shared" si="236"/>
        <v>-16.113430028200526</v>
      </c>
      <c r="AR381" s="169">
        <f t="shared" si="237"/>
        <v>148.75105612710689</v>
      </c>
      <c r="AS381" s="168" t="e">
        <f t="shared" si="238"/>
        <v>#DIV/0!</v>
      </c>
      <c r="AT381" s="190" t="e">
        <f t="shared" si="239"/>
        <v>#DIV/0!</v>
      </c>
      <c r="AU381" s="169" t="e">
        <f t="shared" si="240"/>
        <v>#DIV/0!</v>
      </c>
      <c r="AV381" s="225"/>
      <c r="AX381" t="e">
        <f t="shared" si="241"/>
        <v>#DIV/0!</v>
      </c>
      <c r="AY381" t="e">
        <f t="shared" si="242"/>
        <v>#DIV/0!</v>
      </c>
    </row>
    <row r="382" spans="14:51" x14ac:dyDescent="0.25">
      <c r="N382" s="170">
        <v>64</v>
      </c>
      <c r="O382" s="199">
        <f t="shared" si="208"/>
        <v>43651.583224016598</v>
      </c>
      <c r="P382" s="189" t="str">
        <f t="shared" si="209"/>
        <v>290</v>
      </c>
      <c r="Q382" s="160" t="e">
        <f t="shared" si="210"/>
        <v>#DIV/0!</v>
      </c>
      <c r="R382" s="160" t="e">
        <f t="shared" si="218"/>
        <v>#DIV/0!</v>
      </c>
      <c r="S382" s="160" t="e">
        <f t="shared" si="219"/>
        <v>#DIV/0!</v>
      </c>
      <c r="T382" s="160" t="e">
        <f t="shared" si="211"/>
        <v>#DIV/0!</v>
      </c>
      <c r="U382" s="160" t="e">
        <f t="shared" si="220"/>
        <v>#DIV/0!</v>
      </c>
      <c r="V382" s="160" t="e">
        <f t="shared" si="221"/>
        <v>#DIV/0!</v>
      </c>
      <c r="W382" s="98" t="str">
        <f t="shared" si="212"/>
        <v>1-2.18559692246277i</v>
      </c>
      <c r="X382" s="160">
        <f t="shared" si="222"/>
        <v>2.4035045054001318</v>
      </c>
      <c r="Y382" s="160">
        <f t="shared" si="223"/>
        <v>-1.1416891037625343</v>
      </c>
      <c r="Z382" s="98" t="str">
        <f t="shared" si="213"/>
        <v>0.960630976901586+0.259534230792223i</v>
      </c>
      <c r="AA382" s="160">
        <f t="shared" si="224"/>
        <v>0.99507280675124787</v>
      </c>
      <c r="AB382" s="160">
        <f t="shared" si="225"/>
        <v>0.26387081980973415</v>
      </c>
      <c r="AC382" s="171" t="e">
        <f t="shared" si="226"/>
        <v>#DIV/0!</v>
      </c>
      <c r="AD382" s="190" t="e">
        <f t="shared" si="227"/>
        <v>#DIV/0!</v>
      </c>
      <c r="AE382" s="169" t="e">
        <f t="shared" si="228"/>
        <v>#DIV/0!</v>
      </c>
      <c r="AF382" s="98" t="str">
        <f t="shared" si="214"/>
        <v>-0.0000182926829268293</v>
      </c>
      <c r="AG382" s="98" t="str">
        <f t="shared" si="215"/>
        <v>0.00609430131665852i</v>
      </c>
      <c r="AH382" s="98">
        <f t="shared" si="229"/>
        <v>6.0943013166585196E-3</v>
      </c>
      <c r="AI382" s="98">
        <f t="shared" si="230"/>
        <v>1.5707963267948966</v>
      </c>
      <c r="AJ382" s="98" t="str">
        <f t="shared" si="216"/>
        <v>1+0.597421950461574i</v>
      </c>
      <c r="AK382" s="98">
        <f t="shared" si="231"/>
        <v>1.1648660810983</v>
      </c>
      <c r="AL382" s="98">
        <f t="shared" si="232"/>
        <v>0.53852171939758642</v>
      </c>
      <c r="AM382" s="98" t="str">
        <f t="shared" si="217"/>
        <v>1+60.3396169966189i</v>
      </c>
      <c r="AN382" s="98">
        <f t="shared" si="233"/>
        <v>60.347902857503342</v>
      </c>
      <c r="AO382" s="98">
        <f t="shared" si="234"/>
        <v>1.5542249842569469</v>
      </c>
      <c r="AP382" s="168" t="str">
        <f t="shared" si="235"/>
        <v>-0.132154714262707+0.0819537317675213i</v>
      </c>
      <c r="AQ382" s="98">
        <f t="shared" si="236"/>
        <v>-16.165206664975621</v>
      </c>
      <c r="AR382" s="169">
        <f t="shared" si="237"/>
        <v>148.19551031409978</v>
      </c>
      <c r="AS382" s="168" t="e">
        <f t="shared" si="238"/>
        <v>#DIV/0!</v>
      </c>
      <c r="AT382" s="190" t="e">
        <f t="shared" si="239"/>
        <v>#DIV/0!</v>
      </c>
      <c r="AU382" s="169" t="e">
        <f t="shared" si="240"/>
        <v>#DIV/0!</v>
      </c>
      <c r="AV382" s="225"/>
      <c r="AX382" t="e">
        <f t="shared" si="241"/>
        <v>#DIV/0!</v>
      </c>
      <c r="AY382" t="e">
        <f t="shared" si="242"/>
        <v>#DIV/0!</v>
      </c>
    </row>
    <row r="383" spans="14:51" x14ac:dyDescent="0.25">
      <c r="N383" s="170">
        <v>65</v>
      </c>
      <c r="O383" s="199">
        <f t="shared" si="208"/>
        <v>44668.359215096389</v>
      </c>
      <c r="P383" s="189" t="str">
        <f t="shared" si="209"/>
        <v>290</v>
      </c>
      <c r="Q383" s="160" t="e">
        <f t="shared" si="210"/>
        <v>#DIV/0!</v>
      </c>
      <c r="R383" s="160" t="e">
        <f t="shared" si="218"/>
        <v>#DIV/0!</v>
      </c>
      <c r="S383" s="160" t="e">
        <f t="shared" si="219"/>
        <v>#DIV/0!</v>
      </c>
      <c r="T383" s="160" t="e">
        <f t="shared" si="211"/>
        <v>#DIV/0!</v>
      </c>
      <c r="U383" s="160" t="e">
        <f t="shared" si="220"/>
        <v>#DIV/0!</v>
      </c>
      <c r="V383" s="160" t="e">
        <f t="shared" si="221"/>
        <v>#DIV/0!</v>
      </c>
      <c r="W383" s="98" t="str">
        <f t="shared" si="212"/>
        <v>1-2.23650601470654i</v>
      </c>
      <c r="X383" s="160">
        <f t="shared" si="222"/>
        <v>2.4498896207418266</v>
      </c>
      <c r="Y383" s="160">
        <f t="shared" si="223"/>
        <v>-1.1503349857958414</v>
      </c>
      <c r="Z383" s="98" t="str">
        <f t="shared" si="213"/>
        <v>0.958775572004775+0.265579559626659i</v>
      </c>
      <c r="AA383" s="160">
        <f t="shared" si="224"/>
        <v>0.99487843476706928</v>
      </c>
      <c r="AB383" s="160">
        <f t="shared" si="225"/>
        <v>0.2702234086587223</v>
      </c>
      <c r="AC383" s="171" t="e">
        <f t="shared" si="226"/>
        <v>#DIV/0!</v>
      </c>
      <c r="AD383" s="190" t="e">
        <f t="shared" si="227"/>
        <v>#DIV/0!</v>
      </c>
      <c r="AE383" s="169" t="e">
        <f t="shared" si="228"/>
        <v>#DIV/0!</v>
      </c>
      <c r="AF383" s="98" t="str">
        <f t="shared" si="214"/>
        <v>-0.0000182926829268293</v>
      </c>
      <c r="AG383" s="98" t="str">
        <f t="shared" si="215"/>
        <v>0.00623625583018404i</v>
      </c>
      <c r="AH383" s="98">
        <f t="shared" si="229"/>
        <v>6.23625583018404E-3</v>
      </c>
      <c r="AI383" s="98">
        <f t="shared" si="230"/>
        <v>1.5707963267948966</v>
      </c>
      <c r="AJ383" s="98" t="str">
        <f t="shared" si="216"/>
        <v>1+0.611337695342031i</v>
      </c>
      <c r="AK383" s="98">
        <f t="shared" si="231"/>
        <v>1.172063896614048</v>
      </c>
      <c r="AL383" s="98">
        <f t="shared" si="232"/>
        <v>0.54871435950574599</v>
      </c>
      <c r="AM383" s="98" t="str">
        <f t="shared" si="217"/>
        <v>1+61.745107229545i</v>
      </c>
      <c r="AN383" s="98">
        <f t="shared" si="233"/>
        <v>61.753204506227938</v>
      </c>
      <c r="AO383" s="98">
        <f t="shared" si="234"/>
        <v>1.5546021273518686</v>
      </c>
      <c r="AP383" s="168" t="str">
        <f t="shared" si="235"/>
        <v>-0.130536535511602+0.0827351845250837i</v>
      </c>
      <c r="AQ383" s="98">
        <f t="shared" si="236"/>
        <v>-16.218766115363287</v>
      </c>
      <c r="AR383" s="169">
        <f t="shared" si="237"/>
        <v>147.63312376141786</v>
      </c>
      <c r="AS383" s="168" t="e">
        <f t="shared" si="238"/>
        <v>#DIV/0!</v>
      </c>
      <c r="AT383" s="190" t="e">
        <f t="shared" si="239"/>
        <v>#DIV/0!</v>
      </c>
      <c r="AU383" s="169" t="e">
        <f t="shared" si="240"/>
        <v>#DIV/0!</v>
      </c>
      <c r="AV383" s="225"/>
      <c r="AX383" t="e">
        <f t="shared" si="241"/>
        <v>#DIV/0!</v>
      </c>
      <c r="AY383" t="e">
        <f t="shared" si="242"/>
        <v>#DIV/0!</v>
      </c>
    </row>
    <row r="384" spans="14:51" x14ac:dyDescent="0.25">
      <c r="N384" s="170">
        <v>66</v>
      </c>
      <c r="O384" s="199">
        <f t="shared" ref="O384:O418" si="243">10^(4+(N384/100))</f>
        <v>45708.818961487581</v>
      </c>
      <c r="P384" s="189" t="str">
        <f t="shared" si="209"/>
        <v>290</v>
      </c>
      <c r="Q384" s="160" t="e">
        <f t="shared" si="210"/>
        <v>#DIV/0!</v>
      </c>
      <c r="R384" s="160" t="e">
        <f t="shared" si="218"/>
        <v>#DIV/0!</v>
      </c>
      <c r="S384" s="160" t="e">
        <f t="shared" si="219"/>
        <v>#DIV/0!</v>
      </c>
      <c r="T384" s="160" t="e">
        <f t="shared" si="211"/>
        <v>#DIV/0!</v>
      </c>
      <c r="U384" s="160" t="e">
        <f t="shared" si="220"/>
        <v>#DIV/0!</v>
      </c>
      <c r="V384" s="160" t="e">
        <f t="shared" si="221"/>
        <v>#DIV/0!</v>
      </c>
      <c r="W384" s="98" t="str">
        <f t="shared" si="212"/>
        <v>1-2.28860093204295i</v>
      </c>
      <c r="X384" s="160">
        <f t="shared" si="222"/>
        <v>2.4975376325789087</v>
      </c>
      <c r="Y384" s="160">
        <f t="shared" si="223"/>
        <v>-1.1588491503919855</v>
      </c>
      <c r="Z384" s="98" t="str">
        <f t="shared" si="213"/>
        <v>0.956832724569131+0.271765702258968i</v>
      </c>
      <c r="AA384" s="160">
        <f t="shared" si="224"/>
        <v>0.99467857106237911</v>
      </c>
      <c r="AB384" s="160">
        <f t="shared" si="225"/>
        <v>0.27673841589665127</v>
      </c>
      <c r="AC384" s="171" t="e">
        <f t="shared" si="226"/>
        <v>#DIV/0!</v>
      </c>
      <c r="AD384" s="190" t="e">
        <f t="shared" si="227"/>
        <v>#DIV/0!</v>
      </c>
      <c r="AE384" s="169" t="e">
        <f t="shared" si="228"/>
        <v>#DIV/0!</v>
      </c>
      <c r="AF384" s="98" t="str">
        <f t="shared" si="214"/>
        <v>-0.0000182926829268293</v>
      </c>
      <c r="AG384" s="98" t="str">
        <f t="shared" si="215"/>
        <v>0.00638151688909733i</v>
      </c>
      <c r="AH384" s="98">
        <f t="shared" si="229"/>
        <v>6.3815168890973299E-3</v>
      </c>
      <c r="AI384" s="98">
        <f t="shared" si="230"/>
        <v>1.5707963267948966</v>
      </c>
      <c r="AJ384" s="98" t="str">
        <f t="shared" si="216"/>
        <v>1+0.625577579560564i</v>
      </c>
      <c r="AK384" s="98">
        <f t="shared" si="231"/>
        <v>1.1795538597490383</v>
      </c>
      <c r="AL384" s="98">
        <f t="shared" si="232"/>
        <v>0.55901454564255448</v>
      </c>
      <c r="AM384" s="98" t="str">
        <f t="shared" si="217"/>
        <v>1+63.1833355356169i</v>
      </c>
      <c r="AN384" s="98">
        <f t="shared" si="233"/>
        <v>63.191248519129196</v>
      </c>
      <c r="AO384" s="98">
        <f t="shared" si="234"/>
        <v>1.5549706900738047</v>
      </c>
      <c r="AP384" s="168" t="str">
        <f t="shared" si="235"/>
        <v>-0.128884029907466+0.0834934696222448i</v>
      </c>
      <c r="AQ384" s="98">
        <f t="shared" si="236"/>
        <v>-16.27414712382798</v>
      </c>
      <c r="AR384" s="169">
        <f t="shared" si="237"/>
        <v>147.06408365603241</v>
      </c>
      <c r="AS384" s="168" t="e">
        <f t="shared" si="238"/>
        <v>#DIV/0!</v>
      </c>
      <c r="AT384" s="190" t="e">
        <f t="shared" si="239"/>
        <v>#DIV/0!</v>
      </c>
      <c r="AU384" s="169" t="e">
        <f t="shared" si="240"/>
        <v>#DIV/0!</v>
      </c>
      <c r="AV384" s="225"/>
      <c r="AX384" t="e">
        <f t="shared" si="241"/>
        <v>#DIV/0!</v>
      </c>
      <c r="AY384" t="e">
        <f t="shared" si="242"/>
        <v>#DIV/0!</v>
      </c>
    </row>
    <row r="385" spans="14:51" x14ac:dyDescent="0.25">
      <c r="N385" s="170">
        <v>67</v>
      </c>
      <c r="O385" s="199">
        <f t="shared" si="243"/>
        <v>46773.514128719893</v>
      </c>
      <c r="P385" s="189" t="str">
        <f t="shared" si="209"/>
        <v>290</v>
      </c>
      <c r="Q385" s="160" t="e">
        <f t="shared" si="210"/>
        <v>#DIV/0!</v>
      </c>
      <c r="R385" s="160" t="e">
        <f t="shared" si="218"/>
        <v>#DIV/0!</v>
      </c>
      <c r="S385" s="160" t="e">
        <f t="shared" si="219"/>
        <v>#DIV/0!</v>
      </c>
      <c r="T385" s="160" t="e">
        <f t="shared" si="211"/>
        <v>#DIV/0!</v>
      </c>
      <c r="U385" s="160" t="e">
        <f t="shared" si="220"/>
        <v>#DIV/0!</v>
      </c>
      <c r="V385" s="160" t="e">
        <f t="shared" si="221"/>
        <v>#DIV/0!</v>
      </c>
      <c r="W385" s="98" t="str">
        <f t="shared" si="212"/>
        <v>1-2.34190929588676i</v>
      </c>
      <c r="X385" s="160">
        <f t="shared" si="222"/>
        <v>2.5464758294868655</v>
      </c>
      <c r="Y385" s="160">
        <f t="shared" si="223"/>
        <v>-1.1672311732253069</v>
      </c>
      <c r="Z385" s="98" t="str">
        <f t="shared" si="213"/>
        <v>0.954798313554761+0.27809593866386i</v>
      </c>
      <c r="AA385" s="160">
        <f t="shared" si="224"/>
        <v>0.99447331320068555</v>
      </c>
      <c r="AB385" s="160">
        <f t="shared" si="225"/>
        <v>0.28342061835469456</v>
      </c>
      <c r="AC385" s="171" t="e">
        <f t="shared" si="226"/>
        <v>#DIV/0!</v>
      </c>
      <c r="AD385" s="190" t="e">
        <f t="shared" si="227"/>
        <v>#DIV/0!</v>
      </c>
      <c r="AE385" s="169" t="e">
        <f t="shared" si="228"/>
        <v>#DIV/0!</v>
      </c>
      <c r="AF385" s="98" t="str">
        <f t="shared" si="214"/>
        <v>-0.0000182926829268293</v>
      </c>
      <c r="AG385" s="98" t="str">
        <f t="shared" si="215"/>
        <v>0.00653016151273457i</v>
      </c>
      <c r="AH385" s="98">
        <f t="shared" si="229"/>
        <v>6.5301615127345697E-3</v>
      </c>
      <c r="AI385" s="98">
        <f t="shared" si="230"/>
        <v>1.5707963267948966</v>
      </c>
      <c r="AJ385" s="98" t="str">
        <f t="shared" si="216"/>
        <v>1+0.640149153292283i</v>
      </c>
      <c r="AK385" s="98">
        <f t="shared" si="231"/>
        <v>1.1873461746520375</v>
      </c>
      <c r="AL385" s="98">
        <f t="shared" si="232"/>
        <v>0.56941899642965588</v>
      </c>
      <c r="AM385" s="98" t="str">
        <f t="shared" si="217"/>
        <v>1+64.6550644825205i</v>
      </c>
      <c r="AN385" s="98">
        <f t="shared" si="233"/>
        <v>64.662797366328689</v>
      </c>
      <c r="AO385" s="98">
        <f t="shared" si="234"/>
        <v>1.5553308674388395</v>
      </c>
      <c r="AP385" s="168" t="str">
        <f t="shared" si="235"/>
        <v>-0.127197900887362+0.0842268889651781i</v>
      </c>
      <c r="AQ385" s="98">
        <f t="shared" si="236"/>
        <v>-16.331387701178201</v>
      </c>
      <c r="AR385" s="169">
        <f t="shared" si="237"/>
        <v>146.48858918067256</v>
      </c>
      <c r="AS385" s="168" t="e">
        <f t="shared" si="238"/>
        <v>#DIV/0!</v>
      </c>
      <c r="AT385" s="190" t="e">
        <f t="shared" si="239"/>
        <v>#DIV/0!</v>
      </c>
      <c r="AU385" s="169" t="e">
        <f t="shared" si="240"/>
        <v>#DIV/0!</v>
      </c>
      <c r="AV385" s="225"/>
      <c r="AX385" t="e">
        <f t="shared" si="241"/>
        <v>#DIV/0!</v>
      </c>
      <c r="AY385" t="e">
        <f t="shared" si="242"/>
        <v>#DIV/0!</v>
      </c>
    </row>
    <row r="386" spans="14:51" x14ac:dyDescent="0.25">
      <c r="N386" s="170">
        <v>68</v>
      </c>
      <c r="O386" s="199">
        <f t="shared" si="243"/>
        <v>47863.009232263823</v>
      </c>
      <c r="P386" s="189" t="str">
        <f t="shared" si="209"/>
        <v>290</v>
      </c>
      <c r="Q386" s="160" t="e">
        <f t="shared" si="210"/>
        <v>#DIV/0!</v>
      </c>
      <c r="R386" s="160" t="e">
        <f t="shared" si="218"/>
        <v>#DIV/0!</v>
      </c>
      <c r="S386" s="160" t="e">
        <f t="shared" si="219"/>
        <v>#DIV/0!</v>
      </c>
      <c r="T386" s="160" t="e">
        <f t="shared" si="211"/>
        <v>#DIV/0!</v>
      </c>
      <c r="U386" s="160" t="e">
        <f t="shared" si="220"/>
        <v>#DIV/0!</v>
      </c>
      <c r="V386" s="160" t="e">
        <f t="shared" si="221"/>
        <v>#DIV/0!</v>
      </c>
      <c r="W386" s="98" t="str">
        <f t="shared" si="212"/>
        <v>1-2.39645937103807i</v>
      </c>
      <c r="X386" s="160">
        <f t="shared" si="222"/>
        <v>2.5967320841850787</v>
      </c>
      <c r="Y386" s="160">
        <f t="shared" si="223"/>
        <v>-1.1754807862506877</v>
      </c>
      <c r="Z386" s="98" t="str">
        <f t="shared" si="213"/>
        <v>0.952668023703145+0.284573625216466i</v>
      </c>
      <c r="AA386" s="160">
        <f t="shared" si="224"/>
        <v>0.99426279803445206</v>
      </c>
      <c r="AB386" s="160">
        <f t="shared" si="225"/>
        <v>0.29027496989324081</v>
      </c>
      <c r="AC386" s="171" t="e">
        <f t="shared" si="226"/>
        <v>#DIV/0!</v>
      </c>
      <c r="AD386" s="190" t="e">
        <f t="shared" si="227"/>
        <v>#DIV/0!</v>
      </c>
      <c r="AE386" s="169" t="e">
        <f t="shared" si="228"/>
        <v>#DIV/0!</v>
      </c>
      <c r="AF386" s="98" t="str">
        <f t="shared" si="214"/>
        <v>-0.0000182926829268293</v>
      </c>
      <c r="AG386" s="98" t="str">
        <f t="shared" si="215"/>
        <v>0.00668226851444277i</v>
      </c>
      <c r="AH386" s="98">
        <f t="shared" si="229"/>
        <v>6.6822685144427704E-3</v>
      </c>
      <c r="AI386" s="98">
        <f t="shared" si="230"/>
        <v>1.5707963267948966</v>
      </c>
      <c r="AJ386" s="98" t="str">
        <f t="shared" si="216"/>
        <v>1+0.65506014257845i</v>
      </c>
      <c r="AK386" s="98">
        <f t="shared" si="231"/>
        <v>1.1954512915191899</v>
      </c>
      <c r="AL386" s="98">
        <f t="shared" si="232"/>
        <v>0.57992421767610902</v>
      </c>
      <c r="AM386" s="98" t="str">
        <f t="shared" si="217"/>
        <v>1+66.1610744004234i</v>
      </c>
      <c r="AN386" s="98">
        <f t="shared" si="233"/>
        <v>66.168631282642991</v>
      </c>
      <c r="AO386" s="98">
        <f t="shared" si="234"/>
        <v>1.5556828500437647</v>
      </c>
      <c r="AP386" s="168" t="str">
        <f t="shared" si="235"/>
        <v>-0.125478953500424+0.084933757110366i</v>
      </c>
      <c r="AQ386" s="98">
        <f t="shared" si="236"/>
        <v>-16.390525012234967</v>
      </c>
      <c r="AR386" s="169">
        <f t="shared" si="237"/>
        <v>145.9068514581239</v>
      </c>
      <c r="AS386" s="168" t="e">
        <f t="shared" si="238"/>
        <v>#DIV/0!</v>
      </c>
      <c r="AT386" s="190" t="e">
        <f t="shared" si="239"/>
        <v>#DIV/0!</v>
      </c>
      <c r="AU386" s="169" t="e">
        <f t="shared" si="240"/>
        <v>#DIV/0!</v>
      </c>
      <c r="AV386" s="225"/>
      <c r="AX386" t="e">
        <f t="shared" si="241"/>
        <v>#DIV/0!</v>
      </c>
      <c r="AY386" t="e">
        <f t="shared" si="242"/>
        <v>#DIV/0!</v>
      </c>
    </row>
    <row r="387" spans="14:51" x14ac:dyDescent="0.25">
      <c r="N387" s="170">
        <v>69</v>
      </c>
      <c r="O387" s="199">
        <f t="shared" si="243"/>
        <v>48977.881936844598</v>
      </c>
      <c r="P387" s="189" t="str">
        <f t="shared" si="209"/>
        <v>290</v>
      </c>
      <c r="Q387" s="160" t="e">
        <f t="shared" si="210"/>
        <v>#DIV/0!</v>
      </c>
      <c r="R387" s="160" t="e">
        <f t="shared" si="218"/>
        <v>#DIV/0!</v>
      </c>
      <c r="S387" s="160" t="e">
        <f t="shared" si="219"/>
        <v>#DIV/0!</v>
      </c>
      <c r="T387" s="160" t="e">
        <f t="shared" si="211"/>
        <v>#DIV/0!</v>
      </c>
      <c r="U387" s="160" t="e">
        <f t="shared" si="220"/>
        <v>#DIV/0!</v>
      </c>
      <c r="V387" s="160" t="e">
        <f t="shared" si="221"/>
        <v>#DIV/0!</v>
      </c>
      <c r="W387" s="98" t="str">
        <f t="shared" si="212"/>
        <v>1-2.4522800806688i</v>
      </c>
      <c r="X387" s="160">
        <f t="shared" si="222"/>
        <v>2.6483348719610551</v>
      </c>
      <c r="Y387" s="160">
        <f t="shared" si="223"/>
        <v>-1.183597870978081</v>
      </c>
      <c r="Z387" s="98" t="str">
        <f t="shared" si="213"/>
        <v>0.950437336383895+0.291202196471939i</v>
      </c>
      <c r="AA387" s="160">
        <f t="shared" si="224"/>
        <v>0.99404720693868209</v>
      </c>
      <c r="AB387" s="160">
        <f t="shared" si="225"/>
        <v>0.29730660950300236</v>
      </c>
      <c r="AC387" s="171" t="e">
        <f t="shared" si="226"/>
        <v>#DIV/0!</v>
      </c>
      <c r="AD387" s="190" t="e">
        <f t="shared" si="227"/>
        <v>#DIV/0!</v>
      </c>
      <c r="AE387" s="169" t="e">
        <f t="shared" si="228"/>
        <v>#DIV/0!</v>
      </c>
      <c r="AF387" s="98" t="str">
        <f t="shared" si="214"/>
        <v>-0.0000182926829268293</v>
      </c>
      <c r="AG387" s="98" t="str">
        <f t="shared" si="215"/>
        <v>0.00683791854336761i</v>
      </c>
      <c r="AH387" s="98">
        <f t="shared" si="229"/>
        <v>6.8379185433676097E-3</v>
      </c>
      <c r="AI387" s="98">
        <f t="shared" si="230"/>
        <v>1.5707963267948966</v>
      </c>
      <c r="AJ387" s="98" t="str">
        <f t="shared" si="216"/>
        <v>1+0.670318453422958i</v>
      </c>
      <c r="AK387" s="98">
        <f t="shared" si="231"/>
        <v>1.2038799063857435</v>
      </c>
      <c r="AL387" s="98">
        <f t="shared" si="232"/>
        <v>0.59052650435793697</v>
      </c>
      <c r="AM387" s="98" t="str">
        <f t="shared" si="217"/>
        <v>1+67.7021637957187i</v>
      </c>
      <c r="AN387" s="98">
        <f t="shared" si="233"/>
        <v>67.709548681277781</v>
      </c>
      <c r="AO387" s="98">
        <f t="shared" si="234"/>
        <v>1.5560268241653543</v>
      </c>
      <c r="AP387" s="168" t="str">
        <f t="shared" si="235"/>
        <v>-0.123728095329644+0.0856124084309069i</v>
      </c>
      <c r="AQ387" s="98">
        <f t="shared" si="236"/>
        <v>-16.451595262155912</v>
      </c>
      <c r="AR387" s="169">
        <f t="shared" si="237"/>
        <v>145.31909344349629</v>
      </c>
      <c r="AS387" s="168" t="e">
        <f t="shared" si="238"/>
        <v>#DIV/0!</v>
      </c>
      <c r="AT387" s="190" t="e">
        <f t="shared" si="239"/>
        <v>#DIV/0!</v>
      </c>
      <c r="AU387" s="169" t="e">
        <f t="shared" si="240"/>
        <v>#DIV/0!</v>
      </c>
      <c r="AV387" s="225"/>
      <c r="AX387" t="e">
        <f t="shared" si="241"/>
        <v>#DIV/0!</v>
      </c>
      <c r="AY387" t="e">
        <f t="shared" si="242"/>
        <v>#DIV/0!</v>
      </c>
    </row>
    <row r="388" spans="14:51" x14ac:dyDescent="0.25">
      <c r="N388" s="170">
        <v>70</v>
      </c>
      <c r="O388" s="199">
        <f t="shared" si="243"/>
        <v>50118.723362727294</v>
      </c>
      <c r="P388" s="189" t="str">
        <f t="shared" si="209"/>
        <v>290</v>
      </c>
      <c r="Q388" s="160" t="e">
        <f t="shared" si="210"/>
        <v>#DIV/0!</v>
      </c>
      <c r="R388" s="160" t="e">
        <f t="shared" si="218"/>
        <v>#DIV/0!</v>
      </c>
      <c r="S388" s="160" t="e">
        <f t="shared" si="219"/>
        <v>#DIV/0!</v>
      </c>
      <c r="T388" s="160" t="e">
        <f t="shared" si="211"/>
        <v>#DIV/0!</v>
      </c>
      <c r="U388" s="160" t="e">
        <f t="shared" si="220"/>
        <v>#DIV/0!</v>
      </c>
      <c r="V388" s="160" t="e">
        <f t="shared" si="221"/>
        <v>#DIV/0!</v>
      </c>
      <c r="W388" s="98" t="str">
        <f t="shared" si="212"/>
        <v>1-2.50940102165807i</v>
      </c>
      <c r="X388" s="160">
        <f t="shared" si="222"/>
        <v>2.701313289401762</v>
      </c>
      <c r="Y388" s="160">
        <f t="shared" si="223"/>
        <v>-1.1915824516584494</v>
      </c>
      <c r="Z388" s="98" t="str">
        <f t="shared" si="213"/>
        <v>0.948101520010133+0.297985166986499i</v>
      </c>
      <c r="AA388" s="160">
        <f t="shared" si="224"/>
        <v>0.99382677162043509</v>
      </c>
      <c r="AB388" s="160">
        <f t="shared" si="225"/>
        <v>0.30452086977738069</v>
      </c>
      <c r="AC388" s="171" t="e">
        <f t="shared" si="226"/>
        <v>#DIV/0!</v>
      </c>
      <c r="AD388" s="190" t="e">
        <f t="shared" si="227"/>
        <v>#DIV/0!</v>
      </c>
      <c r="AE388" s="169" t="e">
        <f t="shared" si="228"/>
        <v>#DIV/0!</v>
      </c>
      <c r="AF388" s="98" t="str">
        <f t="shared" si="214"/>
        <v>-0.0000182926829268293</v>
      </c>
      <c r="AG388" s="98" t="str">
        <f t="shared" si="215"/>
        <v>0.0069971941272147i</v>
      </c>
      <c r="AH388" s="98">
        <f t="shared" si="229"/>
        <v>6.9971941272146997E-3</v>
      </c>
      <c r="AI388" s="98">
        <f t="shared" si="230"/>
        <v>1.5707963267948966</v>
      </c>
      <c r="AJ388" s="98" t="str">
        <f t="shared" si="216"/>
        <v>1+0.685932175984188i</v>
      </c>
      <c r="AK388" s="98">
        <f t="shared" si="231"/>
        <v>1.2126429606650109</v>
      </c>
      <c r="AL388" s="98">
        <f t="shared" si="232"/>
        <v>0.60122194353492808</v>
      </c>
      <c r="AM388" s="98" t="str">
        <f t="shared" si="217"/>
        <v>1+69.2791497744029i</v>
      </c>
      <c r="AN388" s="98">
        <f t="shared" si="233"/>
        <v>69.286366577156784</v>
      </c>
      <c r="AO388" s="98">
        <f t="shared" si="234"/>
        <v>1.5563629718574665</v>
      </c>
      <c r="AP388" s="168" t="str">
        <f t="shared" si="235"/>
        <v>-0.121946336834003+0.0862612045046054i</v>
      </c>
      <c r="AQ388" s="98">
        <f t="shared" si="236"/>
        <v>-16.514633582041768</v>
      </c>
      <c r="AR388" s="169">
        <f t="shared" si="237"/>
        <v>144.72554976266684</v>
      </c>
      <c r="AS388" s="168" t="e">
        <f t="shared" si="238"/>
        <v>#DIV/0!</v>
      </c>
      <c r="AT388" s="190" t="e">
        <f t="shared" si="239"/>
        <v>#DIV/0!</v>
      </c>
      <c r="AU388" s="169" t="e">
        <f t="shared" si="240"/>
        <v>#DIV/0!</v>
      </c>
      <c r="AV388" s="225"/>
      <c r="AX388" t="e">
        <f t="shared" si="241"/>
        <v>#DIV/0!</v>
      </c>
      <c r="AY388" t="e">
        <f t="shared" si="242"/>
        <v>#DIV/0!</v>
      </c>
    </row>
    <row r="389" spans="14:51" x14ac:dyDescent="0.25">
      <c r="N389" s="170">
        <v>71</v>
      </c>
      <c r="O389" s="199">
        <f t="shared" si="243"/>
        <v>51286.138399136544</v>
      </c>
      <c r="P389" s="189" t="str">
        <f t="shared" si="209"/>
        <v>290</v>
      </c>
      <c r="Q389" s="160" t="e">
        <f t="shared" si="210"/>
        <v>#DIV/0!</v>
      </c>
      <c r="R389" s="160" t="e">
        <f t="shared" si="218"/>
        <v>#DIV/0!</v>
      </c>
      <c r="S389" s="160" t="e">
        <f t="shared" si="219"/>
        <v>#DIV/0!</v>
      </c>
      <c r="T389" s="160" t="e">
        <f t="shared" si="211"/>
        <v>#DIV/0!</v>
      </c>
      <c r="U389" s="160" t="e">
        <f t="shared" si="220"/>
        <v>#DIV/0!</v>
      </c>
      <c r="V389" s="160" t="e">
        <f t="shared" si="221"/>
        <v>#DIV/0!</v>
      </c>
      <c r="W389" s="98" t="str">
        <f t="shared" si="212"/>
        <v>1-2.56785248028487i</v>
      </c>
      <c r="X389" s="160">
        <f t="shared" si="222"/>
        <v>2.7556970734290007</v>
      </c>
      <c r="Y389" s="160">
        <f t="shared" si="223"/>
        <v>-1.1994346884199141</v>
      </c>
      <c r="Z389" s="98" t="str">
        <f t="shared" si="213"/>
        <v>0.945655620002161+0.304926133180895i</v>
      </c>
      <c r="AA389" s="160">
        <f t="shared" si="224"/>
        <v>0.99360178056318127</v>
      </c>
      <c r="AB389" s="160">
        <f t="shared" si="225"/>
        <v>0.3119232857631502</v>
      </c>
      <c r="AC389" s="171" t="e">
        <f t="shared" si="226"/>
        <v>#DIV/0!</v>
      </c>
      <c r="AD389" s="190" t="e">
        <f t="shared" si="227"/>
        <v>#DIV/0!</v>
      </c>
      <c r="AE389" s="169" t="e">
        <f t="shared" si="228"/>
        <v>#DIV/0!</v>
      </c>
      <c r="AF389" s="98" t="str">
        <f t="shared" si="214"/>
        <v>-0.0000182926829268293</v>
      </c>
      <c r="AG389" s="98" t="str">
        <f t="shared" si="215"/>
        <v>0.00716017971600685i</v>
      </c>
      <c r="AH389" s="98">
        <f t="shared" si="229"/>
        <v>7.1601797160068502E-3</v>
      </c>
      <c r="AI389" s="98">
        <f t="shared" si="230"/>
        <v>1.5707963267948966</v>
      </c>
      <c r="AJ389" s="98" t="str">
        <f t="shared" si="216"/>
        <v>1+0.70190958886451i</v>
      </c>
      <c r="AK389" s="98">
        <f t="shared" si="231"/>
        <v>1.2217516404490503</v>
      </c>
      <c r="AL389" s="98">
        <f t="shared" si="232"/>
        <v>0.61200641822988189</v>
      </c>
      <c r="AM389" s="98" t="str">
        <f t="shared" si="217"/>
        <v>1+70.8928684753154i</v>
      </c>
      <c r="AN389" s="98">
        <f t="shared" si="233"/>
        <v>70.899921020113752</v>
      </c>
      <c r="AO389" s="98">
        <f t="shared" si="234"/>
        <v>1.5566914710460182</v>
      </c>
      <c r="AP389" s="168" t="str">
        <f t="shared" si="235"/>
        <v>-0.120134791076627+0.0868785416721362i</v>
      </c>
      <c r="AQ389" s="98">
        <f t="shared" si="236"/>
        <v>-16.579673914490879</v>
      </c>
      <c r="AR389" s="169">
        <f t="shared" si="237"/>
        <v>144.12646649545786</v>
      </c>
      <c r="AS389" s="168" t="e">
        <f t="shared" si="238"/>
        <v>#DIV/0!</v>
      </c>
      <c r="AT389" s="190" t="e">
        <f t="shared" si="239"/>
        <v>#DIV/0!</v>
      </c>
      <c r="AU389" s="169" t="e">
        <f t="shared" si="240"/>
        <v>#DIV/0!</v>
      </c>
      <c r="AV389" s="225"/>
      <c r="AX389" t="e">
        <f t="shared" si="241"/>
        <v>#DIV/0!</v>
      </c>
      <c r="AY389" t="e">
        <f t="shared" si="242"/>
        <v>#DIV/0!</v>
      </c>
    </row>
    <row r="390" spans="14:51" x14ac:dyDescent="0.25">
      <c r="N390" s="170">
        <v>72</v>
      </c>
      <c r="O390" s="199">
        <f t="shared" si="243"/>
        <v>52480.746024977314</v>
      </c>
      <c r="P390" s="189" t="str">
        <f t="shared" si="209"/>
        <v>290</v>
      </c>
      <c r="Q390" s="160" t="e">
        <f t="shared" si="210"/>
        <v>#DIV/0!</v>
      </c>
      <c r="R390" s="160" t="e">
        <f t="shared" si="218"/>
        <v>#DIV/0!</v>
      </c>
      <c r="S390" s="160" t="e">
        <f t="shared" si="219"/>
        <v>#DIV/0!</v>
      </c>
      <c r="T390" s="160" t="e">
        <f t="shared" si="211"/>
        <v>#DIV/0!</v>
      </c>
      <c r="U390" s="160" t="e">
        <f t="shared" si="220"/>
        <v>#DIV/0!</v>
      </c>
      <c r="V390" s="160" t="e">
        <f t="shared" si="221"/>
        <v>#DIV/0!</v>
      </c>
      <c r="W390" s="98" t="str">
        <f t="shared" si="212"/>
        <v>1-2.62766544828626i</v>
      </c>
      <c r="X390" s="160">
        <f t="shared" si="222"/>
        <v>2.8115166206368816</v>
      </c>
      <c r="Y390" s="160">
        <f t="shared" si="223"/>
        <v>-1.2071548703899633</v>
      </c>
      <c r="Z390" s="98" t="str">
        <f t="shared" si="213"/>
        <v>0.943094448278137+0.312028775247278i</v>
      </c>
      <c r="AA390" s="160">
        <f t="shared" si="224"/>
        <v>0.99337258617064739</v>
      </c>
      <c r="AB390" s="160">
        <f t="shared" si="225"/>
        <v>0.31951960419443265</v>
      </c>
      <c r="AC390" s="171" t="e">
        <f t="shared" si="226"/>
        <v>#DIV/0!</v>
      </c>
      <c r="AD390" s="190" t="e">
        <f t="shared" si="227"/>
        <v>#DIV/0!</v>
      </c>
      <c r="AE390" s="169" t="e">
        <f t="shared" si="228"/>
        <v>#DIV/0!</v>
      </c>
      <c r="AF390" s="98" t="str">
        <f t="shared" si="214"/>
        <v>-0.0000182926829268293</v>
      </c>
      <c r="AG390" s="98" t="str">
        <f t="shared" si="215"/>
        <v>0.00732696172686061i</v>
      </c>
      <c r="AH390" s="98">
        <f t="shared" si="229"/>
        <v>7.3269617268606098E-3</v>
      </c>
      <c r="AI390" s="98">
        <f t="shared" si="230"/>
        <v>1.5707963267948966</v>
      </c>
      <c r="AJ390" s="98" t="str">
        <f t="shared" si="216"/>
        <v>1+0.718259163499717i</v>
      </c>
      <c r="AK390" s="98">
        <f t="shared" si="231"/>
        <v>1.2312173755886135</v>
      </c>
      <c r="AL390" s="98">
        <f t="shared" si="232"/>
        <v>0.62287561228849864</v>
      </c>
      <c r="AM390" s="98" t="str">
        <f t="shared" si="217"/>
        <v>1+72.5441755134714i</v>
      </c>
      <c r="AN390" s="98">
        <f t="shared" si="233"/>
        <v>72.551067538178543</v>
      </c>
      <c r="AO390" s="98">
        <f t="shared" si="234"/>
        <v>1.5570124956218732</v>
      </c>
      <c r="AP390" s="168" t="str">
        <f t="shared" si="235"/>
        <v>-0.118294672809616+0.0874628587084825i</v>
      </c>
      <c r="AQ390" s="98">
        <f t="shared" si="236"/>
        <v>-16.646748899804578</v>
      </c>
      <c r="AR390" s="169">
        <f t="shared" si="237"/>
        <v>143.52210090250702</v>
      </c>
      <c r="AS390" s="168" t="e">
        <f t="shared" si="238"/>
        <v>#DIV/0!</v>
      </c>
      <c r="AT390" s="190" t="e">
        <f t="shared" si="239"/>
        <v>#DIV/0!</v>
      </c>
      <c r="AU390" s="169" t="e">
        <f t="shared" si="240"/>
        <v>#DIV/0!</v>
      </c>
      <c r="AV390" s="225"/>
      <c r="AX390" t="e">
        <f t="shared" si="241"/>
        <v>#DIV/0!</v>
      </c>
      <c r="AY390" t="e">
        <f t="shared" si="242"/>
        <v>#DIV/0!</v>
      </c>
    </row>
    <row r="391" spans="14:51" x14ac:dyDescent="0.25">
      <c r="N391" s="170">
        <v>73</v>
      </c>
      <c r="O391" s="199">
        <f t="shared" si="243"/>
        <v>53703.179637025423</v>
      </c>
      <c r="P391" s="189" t="str">
        <f t="shared" si="209"/>
        <v>290</v>
      </c>
      <c r="Q391" s="160" t="e">
        <f t="shared" si="210"/>
        <v>#DIV/0!</v>
      </c>
      <c r="R391" s="160" t="e">
        <f t="shared" si="218"/>
        <v>#DIV/0!</v>
      </c>
      <c r="S391" s="160" t="e">
        <f t="shared" si="219"/>
        <v>#DIV/0!</v>
      </c>
      <c r="T391" s="160" t="e">
        <f t="shared" si="211"/>
        <v>#DIV/0!</v>
      </c>
      <c r="U391" s="160" t="e">
        <f t="shared" si="220"/>
        <v>#DIV/0!</v>
      </c>
      <c r="V391" s="160" t="e">
        <f t="shared" si="221"/>
        <v>#DIV/0!</v>
      </c>
      <c r="W391" s="98" t="str">
        <f t="shared" si="212"/>
        <v>1-2.6888716392896i</v>
      </c>
      <c r="X391" s="160">
        <f t="shared" si="222"/>
        <v>2.8688030069309294</v>
      </c>
      <c r="Y391" s="160">
        <f t="shared" si="223"/>
        <v>-1.2147434088366527</v>
      </c>
      <c r="Z391" s="98" t="str">
        <f t="shared" si="213"/>
        <v>0.94041257224945+0.319296859100486i</v>
      </c>
      <c r="AA391" s="160">
        <f t="shared" si="224"/>
        <v>0.99313961268104833</v>
      </c>
      <c r="AB391" s="160">
        <f t="shared" si="225"/>
        <v>0.32731579311230735</v>
      </c>
      <c r="AC391" s="171" t="e">
        <f t="shared" si="226"/>
        <v>#DIV/0!</v>
      </c>
      <c r="AD391" s="190" t="e">
        <f t="shared" si="227"/>
        <v>#DIV/0!</v>
      </c>
      <c r="AE391" s="169" t="e">
        <f t="shared" si="228"/>
        <v>#DIV/0!</v>
      </c>
      <c r="AF391" s="98" t="str">
        <f t="shared" si="214"/>
        <v>-0.0000182926829268293</v>
      </c>
      <c r="AG391" s="98" t="str">
        <f t="shared" si="215"/>
        <v>0.00749762858980577i</v>
      </c>
      <c r="AH391" s="98">
        <f t="shared" si="229"/>
        <v>7.4976285898057703E-3</v>
      </c>
      <c r="AI391" s="98">
        <f t="shared" si="230"/>
        <v>1.5707963267948966</v>
      </c>
      <c r="AJ391" s="98" t="str">
        <f t="shared" si="216"/>
        <v>1+0.734989568650698i</v>
      </c>
      <c r="AK391" s="98">
        <f t="shared" si="231"/>
        <v>1.2410518385729659</v>
      </c>
      <c r="AL391" s="98">
        <f t="shared" si="232"/>
        <v>0.6338250162305018</v>
      </c>
      <c r="AM391" s="98" t="str">
        <f t="shared" si="217"/>
        <v>1+74.2339464337204i</v>
      </c>
      <c r="AN391" s="98">
        <f t="shared" si="233"/>
        <v>74.240681591190082</v>
      </c>
      <c r="AO391" s="98">
        <f t="shared" si="234"/>
        <v>1.5573262155316885</v>
      </c>
      <c r="AP391" s="168" t="str">
        <f t="shared" si="235"/>
        <v>-0.116427296891988+0.0880126445462782i</v>
      </c>
      <c r="AQ391" s="98">
        <f t="shared" si="236"/>
        <v>-16.715889763574488</v>
      </c>
      <c r="AR391" s="169">
        <f t="shared" si="237"/>
        <v>142.91272109522791</v>
      </c>
      <c r="AS391" s="168" t="e">
        <f t="shared" si="238"/>
        <v>#DIV/0!</v>
      </c>
      <c r="AT391" s="190" t="e">
        <f t="shared" si="239"/>
        <v>#DIV/0!</v>
      </c>
      <c r="AU391" s="169" t="e">
        <f t="shared" si="240"/>
        <v>#DIV/0!</v>
      </c>
      <c r="AV391" s="225"/>
      <c r="AX391" t="e">
        <f t="shared" si="241"/>
        <v>#DIV/0!</v>
      </c>
      <c r="AY391" t="e">
        <f t="shared" si="242"/>
        <v>#DIV/0!</v>
      </c>
    </row>
    <row r="392" spans="14:51" x14ac:dyDescent="0.25">
      <c r="N392" s="170">
        <v>74</v>
      </c>
      <c r="O392" s="199">
        <f t="shared" si="243"/>
        <v>54954.087385762505</v>
      </c>
      <c r="P392" s="189" t="str">
        <f t="shared" si="209"/>
        <v>290</v>
      </c>
      <c r="Q392" s="160" t="e">
        <f t="shared" si="210"/>
        <v>#DIV/0!</v>
      </c>
      <c r="R392" s="160" t="e">
        <f t="shared" si="218"/>
        <v>#DIV/0!</v>
      </c>
      <c r="S392" s="160" t="e">
        <f t="shared" si="219"/>
        <v>#DIV/0!</v>
      </c>
      <c r="T392" s="160" t="e">
        <f t="shared" si="211"/>
        <v>#DIV/0!</v>
      </c>
      <c r="U392" s="160" t="e">
        <f t="shared" si="220"/>
        <v>#DIV/0!</v>
      </c>
      <c r="V392" s="160" t="e">
        <f t="shared" si="221"/>
        <v>#DIV/0!</v>
      </c>
      <c r="W392" s="98" t="str">
        <f t="shared" si="212"/>
        <v>1-2.75150350562751i</v>
      </c>
      <c r="X392" s="160">
        <f t="shared" si="222"/>
        <v>2.927588007469712</v>
      </c>
      <c r="Y392" s="160">
        <f t="shared" si="223"/>
        <v>-1.2222008303587988</v>
      </c>
      <c r="Z392" s="98" t="str">
        <f t="shared" si="213"/>
        <v>0.937604303297479+0.326734238374782i</v>
      </c>
      <c r="AA392" s="160">
        <f t="shared" si="224"/>
        <v>0.99290336492948783</v>
      </c>
      <c r="AB392" s="160">
        <f t="shared" si="225"/>
        <v>0.33531805186917535</v>
      </c>
      <c r="AC392" s="171" t="e">
        <f t="shared" si="226"/>
        <v>#DIV/0!</v>
      </c>
      <c r="AD392" s="190" t="e">
        <f t="shared" si="227"/>
        <v>#DIV/0!</v>
      </c>
      <c r="AE392" s="169" t="e">
        <f t="shared" si="228"/>
        <v>#DIV/0!</v>
      </c>
      <c r="AF392" s="98" t="str">
        <f t="shared" si="214"/>
        <v>-0.0000182926829268293</v>
      </c>
      <c r="AG392" s="98" t="str">
        <f t="shared" si="215"/>
        <v>0.00767227079467206i</v>
      </c>
      <c r="AH392" s="98">
        <f t="shared" si="229"/>
        <v>7.6722707946720601E-3</v>
      </c>
      <c r="AI392" s="98">
        <f t="shared" si="230"/>
        <v>1.5707963267948966</v>
      </c>
      <c r="AJ392" s="98" t="str">
        <f t="shared" si="216"/>
        <v>1+0.752109674999712i</v>
      </c>
      <c r="AK392" s="98">
        <f t="shared" si="231"/>
        <v>1.2512669432332064</v>
      </c>
      <c r="AL392" s="98">
        <f t="shared" si="232"/>
        <v>0.64484993409443714</v>
      </c>
      <c r="AM392" s="98" t="str">
        <f t="shared" si="217"/>
        <v>1+75.9630771749708i</v>
      </c>
      <c r="AN392" s="98">
        <f t="shared" si="233"/>
        <v>75.969659034976388</v>
      </c>
      <c r="AO392" s="98">
        <f t="shared" si="234"/>
        <v>1.5576327968667607</v>
      </c>
      <c r="AP392" s="168" t="str">
        <f t="shared" si="235"/>
        <v>-0.114534076023648+0.0885264459857422i</v>
      </c>
      <c r="AQ392" s="98">
        <f t="shared" si="236"/>
        <v>-16.787126206406146</v>
      </c>
      <c r="AR392" s="169">
        <f t="shared" si="237"/>
        <v>142.29860564872308</v>
      </c>
      <c r="AS392" s="168" t="e">
        <f t="shared" si="238"/>
        <v>#DIV/0!</v>
      </c>
      <c r="AT392" s="190" t="e">
        <f t="shared" si="239"/>
        <v>#DIV/0!</v>
      </c>
      <c r="AU392" s="169" t="e">
        <f t="shared" si="240"/>
        <v>#DIV/0!</v>
      </c>
      <c r="AV392" s="225"/>
      <c r="AX392" t="e">
        <f t="shared" si="241"/>
        <v>#DIV/0!</v>
      </c>
      <c r="AY392" t="e">
        <f t="shared" si="242"/>
        <v>#DIV/0!</v>
      </c>
    </row>
    <row r="393" spans="14:51" x14ac:dyDescent="0.25">
      <c r="N393" s="170">
        <v>75</v>
      </c>
      <c r="O393" s="199">
        <f t="shared" si="243"/>
        <v>56234.132519034953</v>
      </c>
      <c r="P393" s="189" t="str">
        <f t="shared" si="209"/>
        <v>290</v>
      </c>
      <c r="Q393" s="160" t="e">
        <f t="shared" si="210"/>
        <v>#DIV/0!</v>
      </c>
      <c r="R393" s="160" t="e">
        <f t="shared" si="218"/>
        <v>#DIV/0!</v>
      </c>
      <c r="S393" s="160" t="e">
        <f t="shared" si="219"/>
        <v>#DIV/0!</v>
      </c>
      <c r="T393" s="160" t="e">
        <f t="shared" si="211"/>
        <v>#DIV/0!</v>
      </c>
      <c r="U393" s="160" t="e">
        <f t="shared" si="220"/>
        <v>#DIV/0!</v>
      </c>
      <c r="V393" s="160" t="e">
        <f t="shared" si="221"/>
        <v>#DIV/0!</v>
      </c>
      <c r="W393" s="98" t="str">
        <f t="shared" si="212"/>
        <v>1-2.81559425554455i</v>
      </c>
      <c r="X393" s="160">
        <f t="shared" si="222"/>
        <v>2.9879041169112952</v>
      </c>
      <c r="Y393" s="160">
        <f t="shared" si="223"/>
        <v>-1.2295277701522827</v>
      </c>
      <c r="Z393" s="98" t="str">
        <f t="shared" si="213"/>
        <v>0.934663684707265+0.334344856467104i</v>
      </c>
      <c r="AA393" s="160">
        <f t="shared" si="224"/>
        <v>0.99266443804367754</v>
      </c>
      <c r="AB393" s="160">
        <f t="shared" si="225"/>
        <v>0.34353282151305675</v>
      </c>
      <c r="AC393" s="171" t="e">
        <f t="shared" si="226"/>
        <v>#DIV/0!</v>
      </c>
      <c r="AD393" s="190" t="e">
        <f t="shared" si="227"/>
        <v>#DIV/0!</v>
      </c>
      <c r="AE393" s="169" t="e">
        <f t="shared" si="228"/>
        <v>#DIV/0!</v>
      </c>
      <c r="AF393" s="98" t="str">
        <f t="shared" si="214"/>
        <v>-0.0000182926829268293</v>
      </c>
      <c r="AG393" s="98" t="str">
        <f t="shared" si="215"/>
        <v>0.00785098093906822i</v>
      </c>
      <c r="AH393" s="98">
        <f t="shared" si="229"/>
        <v>7.8509809390682195E-3</v>
      </c>
      <c r="AI393" s="98">
        <f t="shared" si="230"/>
        <v>1.5707963267948966</v>
      </c>
      <c r="AJ393" s="98" t="str">
        <f t="shared" si="216"/>
        <v>1+0.769628559853761i</v>
      </c>
      <c r="AK393" s="98">
        <f t="shared" si="231"/>
        <v>1.2618748432957105</v>
      </c>
      <c r="AL393" s="98">
        <f t="shared" si="232"/>
        <v>0.65594549127005319</v>
      </c>
      <c r="AM393" s="98" t="str">
        <f t="shared" si="217"/>
        <v>1+77.7324845452297i</v>
      </c>
      <c r="AN393" s="98">
        <f t="shared" si="233"/>
        <v>77.73891659635072</v>
      </c>
      <c r="AO393" s="98">
        <f t="shared" si="234"/>
        <v>1.557932401949909</v>
      </c>
      <c r="AP393" s="168" t="str">
        <f t="shared" si="235"/>
        <v>-0.112616517785408+0.0890028753227032i</v>
      </c>
      <c r="AQ393" s="98">
        <f t="shared" si="236"/>
        <v>-16.860486296548849</v>
      </c>
      <c r="AR393" s="169">
        <f t="shared" si="237"/>
        <v>141.68004315799931</v>
      </c>
      <c r="AS393" s="168" t="e">
        <f t="shared" si="238"/>
        <v>#DIV/0!</v>
      </c>
      <c r="AT393" s="190" t="e">
        <f t="shared" si="239"/>
        <v>#DIV/0!</v>
      </c>
      <c r="AU393" s="169" t="e">
        <f t="shared" si="240"/>
        <v>#DIV/0!</v>
      </c>
      <c r="AV393" s="225"/>
      <c r="AX393" t="e">
        <f t="shared" si="241"/>
        <v>#DIV/0!</v>
      </c>
      <c r="AY393" t="e">
        <f t="shared" si="242"/>
        <v>#DIV/0!</v>
      </c>
    </row>
    <row r="394" spans="14:51" x14ac:dyDescent="0.25">
      <c r="N394" s="170">
        <v>76</v>
      </c>
      <c r="O394" s="199">
        <f t="shared" si="243"/>
        <v>57543.993733715732</v>
      </c>
      <c r="P394" s="189" t="str">
        <f t="shared" si="209"/>
        <v>290</v>
      </c>
      <c r="Q394" s="160" t="e">
        <f t="shared" si="210"/>
        <v>#DIV/0!</v>
      </c>
      <c r="R394" s="160" t="e">
        <f t="shared" si="218"/>
        <v>#DIV/0!</v>
      </c>
      <c r="S394" s="160" t="e">
        <f t="shared" si="219"/>
        <v>#DIV/0!</v>
      </c>
      <c r="T394" s="160" t="e">
        <f t="shared" si="211"/>
        <v>#DIV/0!</v>
      </c>
      <c r="U394" s="160" t="e">
        <f t="shared" si="220"/>
        <v>#DIV/0!</v>
      </c>
      <c r="V394" s="160" t="e">
        <f t="shared" si="221"/>
        <v>#DIV/0!</v>
      </c>
      <c r="W394" s="98" t="str">
        <f t="shared" si="212"/>
        <v>1-2.88117787080469i</v>
      </c>
      <c r="X394" s="160">
        <f t="shared" si="222"/>
        <v>3.0497845699679589</v>
      </c>
      <c r="Y394" s="160">
        <f t="shared" si="223"/>
        <v>-1.2367249653767241</v>
      </c>
      <c r="Z394" s="98" t="str">
        <f t="shared" si="213"/>
        <v>0.931584479032522+0.342132748627902i</v>
      </c>
      <c r="AA394" s="160">
        <f t="shared" si="224"/>
        <v>0.99242352816626567</v>
      </c>
      <c r="AB394" s="160">
        <f t="shared" si="225"/>
        <v>0.35196679554218352</v>
      </c>
      <c r="AC394" s="171" t="e">
        <f t="shared" si="226"/>
        <v>#DIV/0!</v>
      </c>
      <c r="AD394" s="190" t="e">
        <f t="shared" si="227"/>
        <v>#DIV/0!</v>
      </c>
      <c r="AE394" s="169" t="e">
        <f t="shared" si="228"/>
        <v>#DIV/0!</v>
      </c>
      <c r="AF394" s="98" t="str">
        <f t="shared" si="214"/>
        <v>-0.0000182926829268293</v>
      </c>
      <c r="AG394" s="98" t="str">
        <f t="shared" si="215"/>
        <v>0.00803385377747828i</v>
      </c>
      <c r="AH394" s="98">
        <f t="shared" si="229"/>
        <v>8.0338537774782802E-3</v>
      </c>
      <c r="AI394" s="98">
        <f t="shared" si="230"/>
        <v>1.5707963267948966</v>
      </c>
      <c r="AJ394" s="98" t="str">
        <f t="shared" si="216"/>
        <v>1+0.787555511957483i</v>
      </c>
      <c r="AK394" s="98">
        <f t="shared" si="231"/>
        <v>1.2728879308150474</v>
      </c>
      <c r="AL394" s="98">
        <f t="shared" si="232"/>
        <v>0.6671066433031223</v>
      </c>
      <c r="AM394" s="98" t="str">
        <f t="shared" si="217"/>
        <v>1+79.5431067077057i</v>
      </c>
      <c r="AN394" s="98">
        <f t="shared" si="233"/>
        <v>79.549392359171776</v>
      </c>
      <c r="AO394" s="98">
        <f t="shared" si="234"/>
        <v>1.5582251894204433</v>
      </c>
      <c r="AP394" s="168" t="str">
        <f t="shared" si="235"/>
        <v>-0.11067622098279+0.0894406178238733i</v>
      </c>
      <c r="AQ394" s="98">
        <f t="shared" si="236"/>
        <v>-16.935996366207405</v>
      </c>
      <c r="AR394" s="169">
        <f t="shared" si="237"/>
        <v>141.05733173835645</v>
      </c>
      <c r="AS394" s="168" t="e">
        <f t="shared" si="238"/>
        <v>#DIV/0!</v>
      </c>
      <c r="AT394" s="190" t="e">
        <f t="shared" si="239"/>
        <v>#DIV/0!</v>
      </c>
      <c r="AU394" s="169" t="e">
        <f t="shared" si="240"/>
        <v>#DIV/0!</v>
      </c>
      <c r="AV394" s="225"/>
      <c r="AX394" t="e">
        <f t="shared" si="241"/>
        <v>#DIV/0!</v>
      </c>
      <c r="AY394" t="e">
        <f t="shared" si="242"/>
        <v>#DIV/0!</v>
      </c>
    </row>
    <row r="395" spans="14:51" x14ac:dyDescent="0.25">
      <c r="N395" s="170">
        <v>77</v>
      </c>
      <c r="O395" s="199">
        <f t="shared" si="243"/>
        <v>58884.365535558936</v>
      </c>
      <c r="P395" s="189" t="str">
        <f t="shared" si="209"/>
        <v>290</v>
      </c>
      <c r="Q395" s="160" t="e">
        <f t="shared" si="210"/>
        <v>#DIV/0!</v>
      </c>
      <c r="R395" s="160" t="e">
        <f t="shared" si="218"/>
        <v>#DIV/0!</v>
      </c>
      <c r="S395" s="160" t="e">
        <f t="shared" si="219"/>
        <v>#DIV/0!</v>
      </c>
      <c r="T395" s="160" t="e">
        <f t="shared" si="211"/>
        <v>#DIV/0!</v>
      </c>
      <c r="U395" s="160" t="e">
        <f t="shared" si="220"/>
        <v>#DIV/0!</v>
      </c>
      <c r="V395" s="160" t="e">
        <f t="shared" si="221"/>
        <v>#DIV/0!</v>
      </c>
      <c r="W395" s="98" t="str">
        <f t="shared" si="212"/>
        <v>1-2.94828912470882i</v>
      </c>
      <c r="X395" s="160">
        <f t="shared" si="222"/>
        <v>3.1132633622737895</v>
      </c>
      <c r="Y395" s="160">
        <f t="shared" si="223"/>
        <v>-1.2437932486440328</v>
      </c>
      <c r="Z395" s="98" t="str">
        <f t="shared" si="213"/>
        <v>0.928360154865179+0.350102044100685i</v>
      </c>
      <c r="AA395" s="160">
        <f t="shared" si="224"/>
        <v>0.99218144430581712</v>
      </c>
      <c r="AB395" s="160">
        <f t="shared" si="225"/>
        <v>0.36062693101450938</v>
      </c>
      <c r="AC395" s="171" t="e">
        <f t="shared" si="226"/>
        <v>#DIV/0!</v>
      </c>
      <c r="AD395" s="190" t="e">
        <f t="shared" si="227"/>
        <v>#DIV/0!</v>
      </c>
      <c r="AE395" s="169" t="e">
        <f t="shared" si="228"/>
        <v>#DIV/0!</v>
      </c>
      <c r="AF395" s="98" t="str">
        <f t="shared" si="214"/>
        <v>-0.0000182926829268293</v>
      </c>
      <c r="AG395" s="98" t="str">
        <f t="shared" si="215"/>
        <v>0.00822098627150179i</v>
      </c>
      <c r="AH395" s="98">
        <f t="shared" si="229"/>
        <v>8.2209862715017894E-3</v>
      </c>
      <c r="AI395" s="98">
        <f t="shared" si="230"/>
        <v>1.5707963267948966</v>
      </c>
      <c r="AJ395" s="98" t="str">
        <f t="shared" si="216"/>
        <v>1+0.805900036418174i</v>
      </c>
      <c r="AK395" s="98">
        <f t="shared" si="231"/>
        <v>1.284318834518444</v>
      </c>
      <c r="AL395" s="98">
        <f t="shared" si="232"/>
        <v>0.67832818564844954</v>
      </c>
      <c r="AM395" s="98" t="str">
        <f t="shared" si="217"/>
        <v>1+81.3959036782354i</v>
      </c>
      <c r="AN395" s="98">
        <f t="shared" si="233"/>
        <v>81.402046261728429</v>
      </c>
      <c r="AO395" s="98">
        <f t="shared" si="234"/>
        <v>1.5585113143172475</v>
      </c>
      <c r="AP395" s="168" t="str">
        <f t="shared" si="235"/>
        <v>-0.108714871299434+0.0898384389771419i</v>
      </c>
      <c r="AQ395" s="98">
        <f t="shared" si="236"/>
        <v>-17.013680912310701</v>
      </c>
      <c r="AR395" s="169">
        <f t="shared" si="237"/>
        <v>140.43077847134251</v>
      </c>
      <c r="AS395" s="168" t="e">
        <f t="shared" si="238"/>
        <v>#DIV/0!</v>
      </c>
      <c r="AT395" s="190" t="e">
        <f t="shared" si="239"/>
        <v>#DIV/0!</v>
      </c>
      <c r="AU395" s="169" t="e">
        <f t="shared" si="240"/>
        <v>#DIV/0!</v>
      </c>
      <c r="AV395" s="225"/>
      <c r="AX395" t="e">
        <f t="shared" si="241"/>
        <v>#DIV/0!</v>
      </c>
      <c r="AY395" t="e">
        <f t="shared" si="242"/>
        <v>#DIV/0!</v>
      </c>
    </row>
    <row r="396" spans="14:51" x14ac:dyDescent="0.25">
      <c r="N396" s="170">
        <v>78</v>
      </c>
      <c r="O396" s="199">
        <f t="shared" si="243"/>
        <v>60255.95860743591</v>
      </c>
      <c r="P396" s="189" t="str">
        <f t="shared" si="209"/>
        <v>290</v>
      </c>
      <c r="Q396" s="160" t="e">
        <f t="shared" si="210"/>
        <v>#DIV/0!</v>
      </c>
      <c r="R396" s="160" t="e">
        <f t="shared" si="218"/>
        <v>#DIV/0!</v>
      </c>
      <c r="S396" s="160" t="e">
        <f t="shared" si="219"/>
        <v>#DIV/0!</v>
      </c>
      <c r="T396" s="160" t="e">
        <f t="shared" si="211"/>
        <v>#DIV/0!</v>
      </c>
      <c r="U396" s="160" t="e">
        <f t="shared" si="220"/>
        <v>#DIV/0!</v>
      </c>
      <c r="V396" s="160" t="e">
        <f t="shared" si="221"/>
        <v>#DIV/0!</v>
      </c>
      <c r="W396" s="98" t="str">
        <f t="shared" si="212"/>
        <v>1-3.0169636005321i</v>
      </c>
      <c r="X396" s="160">
        <f t="shared" si="222"/>
        <v>3.1783752715712499</v>
      </c>
      <c r="Y396" s="160">
        <f t="shared" si="223"/>
        <v>-1.2507335416477319</v>
      </c>
      <c r="Z396" s="98" t="str">
        <f t="shared" si="213"/>
        <v>0.924983872981384+0.358256968311399i</v>
      </c>
      <c r="AA396" s="160">
        <f t="shared" si="224"/>
        <v>0.99193912142798146</v>
      </c>
      <c r="AB396" s="160">
        <f t="shared" si="225"/>
        <v>0.3695204599898218</v>
      </c>
      <c r="AC396" s="171" t="e">
        <f t="shared" si="226"/>
        <v>#DIV/0!</v>
      </c>
      <c r="AD396" s="190" t="e">
        <f t="shared" si="227"/>
        <v>#DIV/0!</v>
      </c>
      <c r="AE396" s="169" t="e">
        <f t="shared" si="228"/>
        <v>#DIV/0!</v>
      </c>
      <c r="AF396" s="98" t="str">
        <f t="shared" si="214"/>
        <v>-0.0000182926829268293</v>
      </c>
      <c r="AG396" s="98" t="str">
        <f t="shared" si="215"/>
        <v>0.00841247764126408i</v>
      </c>
      <c r="AH396" s="98">
        <f t="shared" si="229"/>
        <v>8.4124776412640798E-3</v>
      </c>
      <c r="AI396" s="98">
        <f t="shared" si="230"/>
        <v>1.5707963267948966</v>
      </c>
      <c r="AJ396" s="98" t="str">
        <f t="shared" si="216"/>
        <v>1+0.824671859745524i</v>
      </c>
      <c r="AK396" s="98">
        <f t="shared" si="231"/>
        <v>1.2961804180962391</v>
      </c>
      <c r="AL396" s="98">
        <f t="shared" si="232"/>
        <v>0.6896047643374601</v>
      </c>
      <c r="AM396" s="98" t="str">
        <f t="shared" si="217"/>
        <v>1+83.2918578342978i</v>
      </c>
      <c r="AN396" s="98">
        <f t="shared" si="233"/>
        <v>83.297860605713481</v>
      </c>
      <c r="AO396" s="98">
        <f t="shared" si="234"/>
        <v>1.5587909281600278</v>
      </c>
      <c r="AP396" s="168" t="str">
        <f t="shared" si="235"/>
        <v>-0.106734236274374+0.0901951914443191i</v>
      </c>
      <c r="AQ396" s="98">
        <f t="shared" si="236"/>
        <v>-17.093562502499914</v>
      </c>
      <c r="AR396" s="169">
        <f t="shared" si="237"/>
        <v>139.8006987981997</v>
      </c>
      <c r="AS396" s="168" t="e">
        <f t="shared" si="238"/>
        <v>#DIV/0!</v>
      </c>
      <c r="AT396" s="190" t="e">
        <f t="shared" si="239"/>
        <v>#DIV/0!</v>
      </c>
      <c r="AU396" s="169" t="e">
        <f t="shared" si="240"/>
        <v>#DIV/0!</v>
      </c>
      <c r="AV396" s="225"/>
      <c r="AX396" t="e">
        <f t="shared" si="241"/>
        <v>#DIV/0!</v>
      </c>
      <c r="AY396" t="e">
        <f t="shared" si="242"/>
        <v>#DIV/0!</v>
      </c>
    </row>
    <row r="397" spans="14:51" x14ac:dyDescent="0.25">
      <c r="N397" s="170">
        <v>79</v>
      </c>
      <c r="O397" s="199">
        <f t="shared" si="243"/>
        <v>61659.500186148245</v>
      </c>
      <c r="P397" s="189" t="str">
        <f t="shared" si="209"/>
        <v>290</v>
      </c>
      <c r="Q397" s="160" t="e">
        <f t="shared" si="210"/>
        <v>#DIV/0!</v>
      </c>
      <c r="R397" s="160" t="e">
        <f t="shared" si="218"/>
        <v>#DIV/0!</v>
      </c>
      <c r="S397" s="160" t="e">
        <f t="shared" si="219"/>
        <v>#DIV/0!</v>
      </c>
      <c r="T397" s="160" t="e">
        <f t="shared" si="211"/>
        <v>#DIV/0!</v>
      </c>
      <c r="U397" s="160" t="e">
        <f t="shared" si="220"/>
        <v>#DIV/0!</v>
      </c>
      <c r="V397" s="160" t="e">
        <f t="shared" si="221"/>
        <v>#DIV/0!</v>
      </c>
      <c r="W397" s="98" t="str">
        <f t="shared" si="212"/>
        <v>1-3.08723771039061i</v>
      </c>
      <c r="X397" s="160">
        <f t="shared" si="222"/>
        <v>3.245155879223347</v>
      </c>
      <c r="Y397" s="160">
        <f t="shared" si="223"/>
        <v>-1.2575468489493431</v>
      </c>
      <c r="Z397" s="98" t="str">
        <f t="shared" si="213"/>
        <v>0.921448471834595+0.366601845108802i</v>
      </c>
      <c r="AA397" s="160">
        <f t="shared" si="224"/>
        <v>0.99169763490868956</v>
      </c>
      <c r="AB397" s="160">
        <f t="shared" si="225"/>
        <v>0.37865490127392581</v>
      </c>
      <c r="AC397" s="171" t="e">
        <f t="shared" si="226"/>
        <v>#DIV/0!</v>
      </c>
      <c r="AD397" s="190" t="e">
        <f t="shared" si="227"/>
        <v>#DIV/0!</v>
      </c>
      <c r="AE397" s="169" t="e">
        <f t="shared" si="228"/>
        <v>#DIV/0!</v>
      </c>
      <c r="AF397" s="98" t="str">
        <f t="shared" si="214"/>
        <v>-0.0000182926829268293</v>
      </c>
      <c r="AG397" s="98" t="str">
        <f t="shared" si="215"/>
        <v>0.00860842941802404i</v>
      </c>
      <c r="AH397" s="98">
        <f t="shared" si="229"/>
        <v>8.6084294180240398E-3</v>
      </c>
      <c r="AI397" s="98">
        <f t="shared" si="230"/>
        <v>1.5707963267948966</v>
      </c>
      <c r="AJ397" s="98" t="str">
        <f t="shared" si="216"/>
        <v>1+0.84388093500873i</v>
      </c>
      <c r="AK397" s="98">
        <f t="shared" si="231"/>
        <v>1.3084857784749548</v>
      </c>
      <c r="AL397" s="98">
        <f t="shared" si="232"/>
        <v>0.70093088751748034</v>
      </c>
      <c r="AM397" s="98" t="str">
        <f t="shared" si="217"/>
        <v>1+85.2319744358816i</v>
      </c>
      <c r="AN397" s="98">
        <f t="shared" si="233"/>
        <v>85.237840577051074</v>
      </c>
      <c r="AO397" s="98">
        <f t="shared" si="234"/>
        <v>1.5590641790287534</v>
      </c>
      <c r="AP397" s="168" t="str">
        <f t="shared" si="235"/>
        <v>-0.104736159626041+0.0905098216444869i</v>
      </c>
      <c r="AQ397" s="98">
        <f t="shared" si="236"/>
        <v>-17.175661687078765</v>
      </c>
      <c r="AR397" s="169">
        <f t="shared" si="237"/>
        <v>139.1674158632654</v>
      </c>
      <c r="AS397" s="168" t="e">
        <f t="shared" si="238"/>
        <v>#DIV/0!</v>
      </c>
      <c r="AT397" s="190" t="e">
        <f t="shared" si="239"/>
        <v>#DIV/0!</v>
      </c>
      <c r="AU397" s="169" t="e">
        <f t="shared" si="240"/>
        <v>#DIV/0!</v>
      </c>
      <c r="AV397" s="225"/>
      <c r="AX397" t="e">
        <f t="shared" si="241"/>
        <v>#DIV/0!</v>
      </c>
      <c r="AY397" t="e">
        <f t="shared" si="242"/>
        <v>#DIV/0!</v>
      </c>
    </row>
    <row r="398" spans="14:51" x14ac:dyDescent="0.25">
      <c r="N398" s="170">
        <v>80</v>
      </c>
      <c r="O398" s="199">
        <f t="shared" si="243"/>
        <v>63095.734448019342</v>
      </c>
      <c r="P398" s="189" t="str">
        <f t="shared" si="209"/>
        <v>290</v>
      </c>
      <c r="Q398" s="160" t="e">
        <f t="shared" si="210"/>
        <v>#DIV/0!</v>
      </c>
      <c r="R398" s="160" t="e">
        <f t="shared" si="218"/>
        <v>#DIV/0!</v>
      </c>
      <c r="S398" s="160" t="e">
        <f t="shared" si="219"/>
        <v>#DIV/0!</v>
      </c>
      <c r="T398" s="160" t="e">
        <f t="shared" si="211"/>
        <v>#DIV/0!</v>
      </c>
      <c r="U398" s="160" t="e">
        <f t="shared" si="220"/>
        <v>#DIV/0!</v>
      </c>
      <c r="V398" s="160" t="e">
        <f t="shared" si="221"/>
        <v>#DIV/0!</v>
      </c>
      <c r="W398" s="98" t="str">
        <f t="shared" si="212"/>
        <v>1-3.15914871454759i</v>
      </c>
      <c r="X398" s="160">
        <f t="shared" si="222"/>
        <v>3.3136415920596618</v>
      </c>
      <c r="Y398" s="160">
        <f t="shared" si="223"/>
        <v>-1.2642342519358005</v>
      </c>
      <c r="Z398" s="98" t="str">
        <f t="shared" si="213"/>
        <v>0.91774645236498+0.375141099057032i</v>
      </c>
      <c r="AA398" s="160">
        <f t="shared" si="224"/>
        <v>0.99145821648228039</v>
      </c>
      <c r="AB398" s="160">
        <f t="shared" si="225"/>
        <v>0.38803807242462907</v>
      </c>
      <c r="AC398" s="171" t="e">
        <f t="shared" si="226"/>
        <v>#DIV/0!</v>
      </c>
      <c r="AD398" s="190" t="e">
        <f t="shared" si="227"/>
        <v>#DIV/0!</v>
      </c>
      <c r="AE398" s="169" t="e">
        <f t="shared" si="228"/>
        <v>#DIV/0!</v>
      </c>
      <c r="AF398" s="98" t="str">
        <f t="shared" si="214"/>
        <v>-0.0000182926829268293</v>
      </c>
      <c r="AG398" s="98" t="str">
        <f t="shared" si="215"/>
        <v>0.00880894549800749i</v>
      </c>
      <c r="AH398" s="98">
        <f t="shared" si="229"/>
        <v>8.8089454980074897E-3</v>
      </c>
      <c r="AI398" s="98">
        <f t="shared" si="230"/>
        <v>1.5707963267948966</v>
      </c>
      <c r="AJ398" s="98" t="str">
        <f t="shared" si="216"/>
        <v>1+0.863537447113763i</v>
      </c>
      <c r="AK398" s="98">
        <f t="shared" si="231"/>
        <v>1.3212482441115125</v>
      </c>
      <c r="AL398" s="98">
        <f t="shared" si="232"/>
        <v>0.71230093781074766</v>
      </c>
      <c r="AM398" s="98" t="str">
        <f t="shared" si="217"/>
        <v>1+87.2172821584899i</v>
      </c>
      <c r="AN398" s="98">
        <f t="shared" si="233"/>
        <v>87.22301477886235</v>
      </c>
      <c r="AO398" s="98">
        <f t="shared" si="234"/>
        <v>1.5593312116413376</v>
      </c>
      <c r="AP398" s="168" t="str">
        <f t="shared" si="235"/>
        <v>-0.102722554954428+0.0907813758980029i</v>
      </c>
      <c r="AQ398" s="98">
        <f t="shared" si="236"/>
        <v>-17.259996917638485</v>
      </c>
      <c r="AR398" s="169">
        <f t="shared" si="237"/>
        <v>138.53125981030331</v>
      </c>
      <c r="AS398" s="168" t="e">
        <f t="shared" si="238"/>
        <v>#DIV/0!</v>
      </c>
      <c r="AT398" s="190" t="e">
        <f t="shared" si="239"/>
        <v>#DIV/0!</v>
      </c>
      <c r="AU398" s="169" t="e">
        <f t="shared" si="240"/>
        <v>#DIV/0!</v>
      </c>
      <c r="AV398" s="225"/>
      <c r="AX398" t="e">
        <f t="shared" si="241"/>
        <v>#DIV/0!</v>
      </c>
      <c r="AY398" t="e">
        <f t="shared" si="242"/>
        <v>#DIV/0!</v>
      </c>
    </row>
    <row r="399" spans="14:51" x14ac:dyDescent="0.25">
      <c r="N399" s="170">
        <v>81</v>
      </c>
      <c r="O399" s="199">
        <f t="shared" si="243"/>
        <v>64565.422903465682</v>
      </c>
      <c r="P399" s="189" t="str">
        <f t="shared" si="209"/>
        <v>290</v>
      </c>
      <c r="Q399" s="160" t="e">
        <f t="shared" si="210"/>
        <v>#DIV/0!</v>
      </c>
      <c r="R399" s="160" t="e">
        <f t="shared" si="218"/>
        <v>#DIV/0!</v>
      </c>
      <c r="S399" s="160" t="e">
        <f t="shared" si="219"/>
        <v>#DIV/0!</v>
      </c>
      <c r="T399" s="160" t="e">
        <f t="shared" si="211"/>
        <v>#DIV/0!</v>
      </c>
      <c r="U399" s="160" t="e">
        <f t="shared" si="220"/>
        <v>#DIV/0!</v>
      </c>
      <c r="V399" s="160" t="e">
        <f t="shared" si="221"/>
        <v>#DIV/0!</v>
      </c>
      <c r="W399" s="98" t="str">
        <f t="shared" si="212"/>
        <v>1-3.23273474116931i</v>
      </c>
      <c r="X399" s="160">
        <f t="shared" si="222"/>
        <v>3.3838696645649651</v>
      </c>
      <c r="Y399" s="160">
        <f t="shared" si="223"/>
        <v>-1.2707969029595347</v>
      </c>
      <c r="Z399" s="98" t="str">
        <f t="shared" si="213"/>
        <v>0.913869962092905+0.383879257781561i</v>
      </c>
      <c r="AA399" s="160">
        <f t="shared" si="224"/>
        <v>0.99122227182938627</v>
      </c>
      <c r="AB399" s="160">
        <f t="shared" si="225"/>
        <v>0.39767810196772557</v>
      </c>
      <c r="AC399" s="171" t="e">
        <f t="shared" si="226"/>
        <v>#DIV/0!</v>
      </c>
      <c r="AD399" s="190" t="e">
        <f t="shared" si="227"/>
        <v>#DIV/0!</v>
      </c>
      <c r="AE399" s="169" t="e">
        <f t="shared" si="228"/>
        <v>#DIV/0!</v>
      </c>
      <c r="AF399" s="98" t="str">
        <f t="shared" si="214"/>
        <v>-0.0000182926829268293</v>
      </c>
      <c r="AG399" s="98" t="str">
        <f t="shared" si="215"/>
        <v>0.00901413219749418i</v>
      </c>
      <c r="AH399" s="98">
        <f t="shared" si="229"/>
        <v>9.0141321974941801E-3</v>
      </c>
      <c r="AI399" s="98">
        <f t="shared" si="230"/>
        <v>1.5707963267948966</v>
      </c>
      <c r="AJ399" s="98" t="str">
        <f t="shared" si="216"/>
        <v>1+0.883651818203527i</v>
      </c>
      <c r="AK399" s="98">
        <f t="shared" si="231"/>
        <v>1.3344813733486125</v>
      </c>
      <c r="AL399" s="98">
        <f t="shared" si="232"/>
        <v>0.72370918543231955</v>
      </c>
      <c r="AM399" s="98" t="str">
        <f t="shared" si="217"/>
        <v>1+89.2488336385562i</v>
      </c>
      <c r="AN399" s="98">
        <f t="shared" si="233"/>
        <v>89.254435776843493</v>
      </c>
      <c r="AO399" s="98">
        <f t="shared" si="234"/>
        <v>1.5595921674295901</v>
      </c>
      <c r="AP399" s="168" t="str">
        <f t="shared" si="235"/>
        <v>-0.100695398861322+0.091009006064218i</v>
      </c>
      <c r="AQ399" s="98">
        <f t="shared" si="236"/>
        <v>-17.346584473029235</v>
      </c>
      <c r="AR399" s="169">
        <f t="shared" si="237"/>
        <v>137.89256703525325</v>
      </c>
      <c r="AS399" s="168" t="e">
        <f t="shared" si="238"/>
        <v>#DIV/0!</v>
      </c>
      <c r="AT399" s="190" t="e">
        <f t="shared" si="239"/>
        <v>#DIV/0!</v>
      </c>
      <c r="AU399" s="169" t="e">
        <f t="shared" si="240"/>
        <v>#DIV/0!</v>
      </c>
      <c r="AV399" s="225"/>
      <c r="AX399" t="e">
        <f t="shared" si="241"/>
        <v>#DIV/0!</v>
      </c>
      <c r="AY399" t="e">
        <f t="shared" si="242"/>
        <v>#DIV/0!</v>
      </c>
    </row>
    <row r="400" spans="14:51" x14ac:dyDescent="0.25">
      <c r="N400" s="170">
        <v>82</v>
      </c>
      <c r="O400" s="199">
        <f t="shared" si="243"/>
        <v>66069.344800759733</v>
      </c>
      <c r="P400" s="189" t="str">
        <f t="shared" si="209"/>
        <v>290</v>
      </c>
      <c r="Q400" s="160" t="e">
        <f t="shared" si="210"/>
        <v>#DIV/0!</v>
      </c>
      <c r="R400" s="160" t="e">
        <f t="shared" si="218"/>
        <v>#DIV/0!</v>
      </c>
      <c r="S400" s="160" t="e">
        <f t="shared" si="219"/>
        <v>#DIV/0!</v>
      </c>
      <c r="T400" s="160" t="e">
        <f t="shared" si="211"/>
        <v>#DIV/0!</v>
      </c>
      <c r="U400" s="160" t="e">
        <f t="shared" si="220"/>
        <v>#DIV/0!</v>
      </c>
      <c r="V400" s="160" t="e">
        <f t="shared" si="221"/>
        <v>#DIV/0!</v>
      </c>
      <c r="W400" s="98" t="str">
        <f t="shared" si="212"/>
        <v>1-3.30803480654109i</v>
      </c>
      <c r="X400" s="160">
        <f t="shared" si="222"/>
        <v>3.4558782214203307</v>
      </c>
      <c r="Y400" s="160">
        <f t="shared" si="223"/>
        <v>-1.2772360196707808</v>
      </c>
      <c r="Z400" s="98" t="str">
        <f t="shared" si="213"/>
        <v>0.909810778462775+0.392820954369809i</v>
      </c>
      <c r="AA400" s="160">
        <f t="shared" si="224"/>
        <v>0.99099139996220376</v>
      </c>
      <c r="AB400" s="160">
        <f t="shared" si="225"/>
        <v>0.40758344175771066</v>
      </c>
      <c r="AC400" s="171" t="e">
        <f t="shared" si="226"/>
        <v>#DIV/0!</v>
      </c>
      <c r="AD400" s="190" t="e">
        <f t="shared" si="227"/>
        <v>#DIV/0!</v>
      </c>
      <c r="AE400" s="169" t="e">
        <f t="shared" si="228"/>
        <v>#DIV/0!</v>
      </c>
      <c r="AF400" s="98" t="str">
        <f t="shared" si="214"/>
        <v>-0.0000182926829268293</v>
      </c>
      <c r="AG400" s="98" t="str">
        <f t="shared" si="215"/>
        <v>0.00922409830918811i</v>
      </c>
      <c r="AH400" s="98">
        <f t="shared" si="229"/>
        <v>9.2240983091881092E-3</v>
      </c>
      <c r="AI400" s="98">
        <f t="shared" si="230"/>
        <v>1.5707963267948966</v>
      </c>
      <c r="AJ400" s="98" t="str">
        <f t="shared" si="216"/>
        <v>1+0.904234713183817i</v>
      </c>
      <c r="AK400" s="98">
        <f t="shared" si="231"/>
        <v>1.3481989528725424</v>
      </c>
      <c r="AL400" s="98">
        <f t="shared" si="232"/>
        <v>0.73514980199777669</v>
      </c>
      <c r="AM400" s="98" t="str">
        <f t="shared" si="217"/>
        <v>1+91.3277060315654i</v>
      </c>
      <c r="AN400" s="98">
        <f t="shared" si="233"/>
        <v>91.33318065734943</v>
      </c>
      <c r="AO400" s="98">
        <f t="shared" si="234"/>
        <v>1.5598471846134776</v>
      </c>
      <c r="AP400" s="168" t="str">
        <f t="shared" si="235"/>
        <v>-0.0986567235366135+0.0911919746101233i</v>
      </c>
      <c r="AQ400" s="98">
        <f t="shared" si="236"/>
        <v>-17.435438393301396</v>
      </c>
      <c r="AR400" s="169">
        <f t="shared" si="237"/>
        <v>137.25167939936526</v>
      </c>
      <c r="AS400" s="168" t="e">
        <f t="shared" si="238"/>
        <v>#DIV/0!</v>
      </c>
      <c r="AT400" s="190" t="e">
        <f t="shared" si="239"/>
        <v>#DIV/0!</v>
      </c>
      <c r="AU400" s="169" t="e">
        <f t="shared" si="240"/>
        <v>#DIV/0!</v>
      </c>
      <c r="AV400" s="225"/>
      <c r="AX400" t="e">
        <f t="shared" si="241"/>
        <v>#DIV/0!</v>
      </c>
      <c r="AY400" t="e">
        <f t="shared" si="242"/>
        <v>#DIV/0!</v>
      </c>
    </row>
    <row r="401" spans="14:51" x14ac:dyDescent="0.25">
      <c r="N401" s="170">
        <v>83</v>
      </c>
      <c r="O401" s="199">
        <f t="shared" si="243"/>
        <v>67608.297539198305</v>
      </c>
      <c r="P401" s="189" t="str">
        <f t="shared" si="209"/>
        <v>290</v>
      </c>
      <c r="Q401" s="160" t="e">
        <f t="shared" si="210"/>
        <v>#DIV/0!</v>
      </c>
      <c r="R401" s="160" t="e">
        <f t="shared" si="218"/>
        <v>#DIV/0!</v>
      </c>
      <c r="S401" s="160" t="e">
        <f t="shared" si="219"/>
        <v>#DIV/0!</v>
      </c>
      <c r="T401" s="160" t="e">
        <f t="shared" si="211"/>
        <v>#DIV/0!</v>
      </c>
      <c r="U401" s="160" t="e">
        <f t="shared" si="220"/>
        <v>#DIV/0!</v>
      </c>
      <c r="V401" s="160" t="e">
        <f t="shared" si="221"/>
        <v>#DIV/0!</v>
      </c>
      <c r="W401" s="98" t="str">
        <f t="shared" si="212"/>
        <v>1-3.38508883575432i</v>
      </c>
      <c r="X401" s="160">
        <f t="shared" si="222"/>
        <v>3.529706280407555</v>
      </c>
      <c r="Y401" s="160">
        <f t="shared" si="223"/>
        <v>-1.2835528795497062</v>
      </c>
      <c r="Z401" s="98" t="str">
        <f t="shared" si="213"/>
        <v>0.905560291401885+0.401970929827664i</v>
      </c>
      <c r="AA401" s="160">
        <f t="shared" si="224"/>
        <v>0.99076741457840822</v>
      </c>
      <c r="AB401" s="160">
        <f t="shared" si="225"/>
        <v>0.41776287940209328</v>
      </c>
      <c r="AC401" s="171" t="e">
        <f t="shared" si="226"/>
        <v>#DIV/0!</v>
      </c>
      <c r="AD401" s="190" t="e">
        <f t="shared" si="227"/>
        <v>#DIV/0!</v>
      </c>
      <c r="AE401" s="169" t="e">
        <f t="shared" si="228"/>
        <v>#DIV/0!</v>
      </c>
      <c r="AF401" s="98" t="str">
        <f t="shared" si="214"/>
        <v>-0.0000182926829268293</v>
      </c>
      <c r="AG401" s="98" t="str">
        <f t="shared" si="215"/>
        <v>0.00943895515990094i</v>
      </c>
      <c r="AH401" s="98">
        <f t="shared" si="229"/>
        <v>9.4389551599009403E-3</v>
      </c>
      <c r="AI401" s="98">
        <f t="shared" si="230"/>
        <v>1.5707963267948966</v>
      </c>
      <c r="AJ401" s="98" t="str">
        <f t="shared" si="216"/>
        <v>1+0.925297045377998i</v>
      </c>
      <c r="AK401" s="98">
        <f t="shared" si="231"/>
        <v>1.3624149963154593</v>
      </c>
      <c r="AL401" s="98">
        <f t="shared" si="232"/>
        <v>0.74661687494384799</v>
      </c>
      <c r="AM401" s="98" t="str">
        <f t="shared" si="217"/>
        <v>1+93.4550015831777i</v>
      </c>
      <c r="AN401" s="98">
        <f t="shared" si="233"/>
        <v>93.46035159848131</v>
      </c>
      <c r="AO401" s="98">
        <f t="shared" si="234"/>
        <v>1.5600963982737326</v>
      </c>
      <c r="AP401" s="168" t="str">
        <f t="shared" si="235"/>
        <v>-0.0966086088662973+0.0913296590524019i</v>
      </c>
      <c r="AQ401" s="98">
        <f t="shared" si="236"/>
        <v>-17.526570422182523</v>
      </c>
      <c r="AR401" s="169">
        <f t="shared" si="237"/>
        <v>136.60894340711636</v>
      </c>
      <c r="AS401" s="168" t="e">
        <f t="shared" si="238"/>
        <v>#DIV/0!</v>
      </c>
      <c r="AT401" s="190" t="e">
        <f t="shared" si="239"/>
        <v>#DIV/0!</v>
      </c>
      <c r="AU401" s="169" t="e">
        <f t="shared" si="240"/>
        <v>#DIV/0!</v>
      </c>
      <c r="AV401" s="225"/>
      <c r="AX401" t="e">
        <f t="shared" si="241"/>
        <v>#DIV/0!</v>
      </c>
      <c r="AY401" t="e">
        <f t="shared" si="242"/>
        <v>#DIV/0!</v>
      </c>
    </row>
    <row r="402" spans="14:51" x14ac:dyDescent="0.25">
      <c r="N402" s="170">
        <v>84</v>
      </c>
      <c r="O402" s="199">
        <f t="shared" si="243"/>
        <v>69183.097091893651</v>
      </c>
      <c r="P402" s="189" t="str">
        <f t="shared" si="209"/>
        <v>290</v>
      </c>
      <c r="Q402" s="160" t="e">
        <f t="shared" si="210"/>
        <v>#DIV/0!</v>
      </c>
      <c r="R402" s="160" t="e">
        <f t="shared" si="218"/>
        <v>#DIV/0!</v>
      </c>
      <c r="S402" s="160" t="e">
        <f t="shared" si="219"/>
        <v>#DIV/0!</v>
      </c>
      <c r="T402" s="160" t="e">
        <f t="shared" si="211"/>
        <v>#DIV/0!</v>
      </c>
      <c r="U402" s="160" t="e">
        <f t="shared" si="220"/>
        <v>#DIV/0!</v>
      </c>
      <c r="V402" s="160" t="e">
        <f t="shared" si="221"/>
        <v>#DIV/0!</v>
      </c>
      <c r="W402" s="98" t="str">
        <f t="shared" si="212"/>
        <v>1-3.4639376838752i</v>
      </c>
      <c r="X402" s="160">
        <f t="shared" si="222"/>
        <v>3.6053937756881269</v>
      </c>
      <c r="Y402" s="160">
        <f t="shared" si="223"/>
        <v>-1.2897488146440974</v>
      </c>
      <c r="Z402" s="98" t="str">
        <f t="shared" si="213"/>
        <v>0.901109485057306+0.411334035593226i</v>
      </c>
      <c r="AA402" s="160">
        <f t="shared" si="224"/>
        <v>0.99055236756955589</v>
      </c>
      <c r="AB402" s="160">
        <f t="shared" si="225"/>
        <v>0.42822555064975798</v>
      </c>
      <c r="AC402" s="171" t="e">
        <f t="shared" si="226"/>
        <v>#DIV/0!</v>
      </c>
      <c r="AD402" s="190" t="e">
        <f t="shared" si="227"/>
        <v>#DIV/0!</v>
      </c>
      <c r="AE402" s="169" t="e">
        <f t="shared" si="228"/>
        <v>#DIV/0!</v>
      </c>
      <c r="AF402" s="98" t="str">
        <f t="shared" si="214"/>
        <v>-0.0000182926829268293</v>
      </c>
      <c r="AG402" s="98" t="str">
        <f t="shared" si="215"/>
        <v>0.00965881666957888i</v>
      </c>
      <c r="AH402" s="98">
        <f t="shared" si="229"/>
        <v>9.6588166695788808E-3</v>
      </c>
      <c r="AI402" s="98">
        <f t="shared" si="230"/>
        <v>1.5707963267948966</v>
      </c>
      <c r="AJ402" s="98" t="str">
        <f t="shared" si="216"/>
        <v>1+0.946849982313389i</v>
      </c>
      <c r="AK402" s="98">
        <f t="shared" si="231"/>
        <v>1.3771437430445905</v>
      </c>
      <c r="AL402" s="98">
        <f t="shared" si="232"/>
        <v>0.75810442247808962</v>
      </c>
      <c r="AM402" s="98" t="str">
        <f t="shared" si="217"/>
        <v>1+95.6318482136522i</v>
      </c>
      <c r="AN402" s="98">
        <f t="shared" si="233"/>
        <v>95.637076454474581</v>
      </c>
      <c r="AO402" s="98">
        <f t="shared" si="234"/>
        <v>1.5603399404228413</v>
      </c>
      <c r="AP402" s="168" t="str">
        <f t="shared" si="235"/>
        <v>-0.0945531741247781+0.091421555721628i</v>
      </c>
      <c r="AQ402" s="98">
        <f t="shared" si="236"/>
        <v>-17.619989958588896</v>
      </c>
      <c r="AR402" s="169">
        <f t="shared" si="237"/>
        <v>135.96470935372585</v>
      </c>
      <c r="AS402" s="168" t="e">
        <f t="shared" si="238"/>
        <v>#DIV/0!</v>
      </c>
      <c r="AT402" s="190" t="e">
        <f t="shared" si="239"/>
        <v>#DIV/0!</v>
      </c>
      <c r="AU402" s="169" t="e">
        <f t="shared" si="240"/>
        <v>#DIV/0!</v>
      </c>
      <c r="AV402" s="225"/>
      <c r="AX402" t="e">
        <f t="shared" si="241"/>
        <v>#DIV/0!</v>
      </c>
      <c r="AY402" t="e">
        <f t="shared" si="242"/>
        <v>#DIV/0!</v>
      </c>
    </row>
    <row r="403" spans="14:51" x14ac:dyDescent="0.25">
      <c r="N403" s="170">
        <v>85</v>
      </c>
      <c r="O403" s="199">
        <f t="shared" si="243"/>
        <v>70794.578438413781</v>
      </c>
      <c r="P403" s="189" t="str">
        <f t="shared" ref="P403:P466" si="244">COMPLEX(Adc,0)</f>
        <v>290</v>
      </c>
      <c r="Q403" s="160" t="e">
        <f t="shared" ref="Q403:Q466" si="245">IMSUM(COMPLEX(1,0),IMDIV(COMPLEX(0,2*PI()*O403),COMPLEX(wp_lf,0)))</f>
        <v>#DIV/0!</v>
      </c>
      <c r="R403" s="160" t="e">
        <f t="shared" si="218"/>
        <v>#DIV/0!</v>
      </c>
      <c r="S403" s="160" t="e">
        <f t="shared" si="219"/>
        <v>#DIV/0!</v>
      </c>
      <c r="T403" s="160" t="e">
        <f t="shared" ref="T403:T466" si="246">IMSUM(COMPLEX(1,0),IMDIV(COMPLEX(0,2*PI()*O403),COMPLEX(wz_esr,0)))</f>
        <v>#DIV/0!</v>
      </c>
      <c r="U403" s="160" t="e">
        <f t="shared" si="220"/>
        <v>#DIV/0!</v>
      </c>
      <c r="V403" s="160" t="e">
        <f t="shared" si="221"/>
        <v>#DIV/0!</v>
      </c>
      <c r="W403" s="98" t="str">
        <f t="shared" ref="W403:W466" si="247">IMSUB(COMPLEX(1,0),IMDIV(COMPLEX(0,2*PI()*O403),COMPLEX(wz_rhp,0)))</f>
        <v>1-3.54462315760672i</v>
      </c>
      <c r="X403" s="160">
        <f t="shared" si="222"/>
        <v>3.6829815814692632</v>
      </c>
      <c r="Y403" s="160">
        <f t="shared" si="223"/>
        <v>-1.2958252065167291</v>
      </c>
      <c r="Z403" s="98" t="str">
        <f t="shared" ref="Z403:Z466" si="248">IF(Dc_Mode_Loop="CCM",IMSUM(COMPLEX(1,0),IMDIV(COMPLEX(0,2*PI()*O403),COMPLEX(Q*(wsl/2),0)),IMDIV(IMPOWER(COMPLEX(0,2*PI()*O403),2),IMPOWER(COMPLEX(wsl/2,0),2))),COMPLEX(1,0))</f>
        <v>0.896448918672051+0.42091523610911i</v>
      </c>
      <c r="AA403" s="160">
        <f t="shared" si="224"/>
        <v>0.99034857488516503</v>
      </c>
      <c r="AB403" s="160">
        <f t="shared" si="225"/>
        <v>0.43898095162239775</v>
      </c>
      <c r="AC403" s="171" t="e">
        <f t="shared" si="226"/>
        <v>#DIV/0!</v>
      </c>
      <c r="AD403" s="190" t="e">
        <f t="shared" si="227"/>
        <v>#DIV/0!</v>
      </c>
      <c r="AE403" s="169" t="e">
        <f t="shared" si="228"/>
        <v>#DIV/0!</v>
      </c>
      <c r="AF403" s="98" t="str">
        <f t="shared" ref="AF403:AF466" si="249">COMPLEX(Adc_ea,0)</f>
        <v>-0.0000182926829268293</v>
      </c>
      <c r="AG403" s="98" t="str">
        <f t="shared" ref="AG403:AG466" si="250">COMPLEX(0,2*PI()*O403*wp0_ea)</f>
        <v>0.0098837994117046i</v>
      </c>
      <c r="AH403" s="98">
        <f t="shared" si="229"/>
        <v>9.8837994117045996E-3</v>
      </c>
      <c r="AI403" s="98">
        <f t="shared" si="230"/>
        <v>1.5707963267948966</v>
      </c>
      <c r="AJ403" s="98" t="str">
        <f t="shared" ref="AJ403:AJ466" si="251">IMSUM(COMPLEX(1,0),IMDIV(COMPLEX(0,2*PI()*O403),COMPLEX(wp1_ea,0)))</f>
        <v>1+0.968904951642446i</v>
      </c>
      <c r="AK403" s="98">
        <f t="shared" si="231"/>
        <v>1.3923996571808148</v>
      </c>
      <c r="AL403" s="98">
        <f t="shared" si="232"/>
        <v>0.76960640896764587</v>
      </c>
      <c r="AM403" s="98" t="str">
        <f t="shared" ref="AM403:AM466" si="252">IMSUM(COMPLEX(1,0),IMDIV(COMPLEX(0,2*PI()*O403),COMPLEX(wz_ea,0)))</f>
        <v>1+97.859400115887i</v>
      </c>
      <c r="AN403" s="98">
        <f t="shared" si="233"/>
        <v>97.864509353704236</v>
      </c>
      <c r="AO403" s="98">
        <f t="shared" si="234"/>
        <v>1.5605779400744473</v>
      </c>
      <c r="AP403" s="168" t="str">
        <f t="shared" si="235"/>
        <v>-0.0924925693202206+0.0914672828045863i</v>
      </c>
      <c r="AQ403" s="98">
        <f t="shared" si="236"/>
        <v>-17.715704017597769</v>
      </c>
      <c r="AR403" s="169">
        <f t="shared" si="237"/>
        <v>135.31933044742036</v>
      </c>
      <c r="AS403" s="168" t="e">
        <f t="shared" si="238"/>
        <v>#DIV/0!</v>
      </c>
      <c r="AT403" s="190" t="e">
        <f t="shared" si="239"/>
        <v>#DIV/0!</v>
      </c>
      <c r="AU403" s="169" t="e">
        <f t="shared" si="240"/>
        <v>#DIV/0!</v>
      </c>
      <c r="AV403" s="225"/>
      <c r="AX403" t="e">
        <f t="shared" si="241"/>
        <v>#DIV/0!</v>
      </c>
      <c r="AY403" t="e">
        <f t="shared" si="242"/>
        <v>#DIV/0!</v>
      </c>
    </row>
    <row r="404" spans="14:51" x14ac:dyDescent="0.25">
      <c r="N404" s="170">
        <v>86</v>
      </c>
      <c r="O404" s="199">
        <f t="shared" si="243"/>
        <v>72443.596007499116</v>
      </c>
      <c r="P404" s="189" t="str">
        <f t="shared" si="244"/>
        <v>290</v>
      </c>
      <c r="Q404" s="160" t="e">
        <f t="shared" si="245"/>
        <v>#DIV/0!</v>
      </c>
      <c r="R404" s="160" t="e">
        <f t="shared" ref="R404:R467" si="253">IMABS(Q404)</f>
        <v>#DIV/0!</v>
      </c>
      <c r="S404" s="160" t="e">
        <f t="shared" ref="S404:S467" si="254">IMARGUMENT(Q404)</f>
        <v>#DIV/0!</v>
      </c>
      <c r="T404" s="160" t="e">
        <f t="shared" si="246"/>
        <v>#DIV/0!</v>
      </c>
      <c r="U404" s="160" t="e">
        <f t="shared" ref="U404:U467" si="255">IMABS(T404)</f>
        <v>#DIV/0!</v>
      </c>
      <c r="V404" s="160" t="e">
        <f t="shared" ref="V404:V467" si="256">IMARGUMENT(T404)</f>
        <v>#DIV/0!</v>
      </c>
      <c r="W404" s="98" t="str">
        <f t="shared" si="247"/>
        <v>1-3.62718803745504i</v>
      </c>
      <c r="X404" s="160">
        <f t="shared" ref="X404:X467" si="257">IMABS(W404)</f>
        <v>3.7625115360696157</v>
      </c>
      <c r="Y404" s="160">
        <f t="shared" ref="Y404:Y467" si="258">IMARGUMENT(W404)</f>
        <v>-1.301783481404964</v>
      </c>
      <c r="Z404" s="98" t="str">
        <f t="shared" si="248"/>
        <v>0.891568706559964+0.430719611454652i</v>
      </c>
      <c r="AA404" s="160">
        <f t="shared" ref="AA404:AA467" si="259">IMABS(Z404)</f>
        <v>0.99015864496991279</v>
      </c>
      <c r="AB404" s="160">
        <f t="shared" ref="AB404:AB467" si="260">IMARGUMENT(Z404)</f>
        <v>0.4500389507432011</v>
      </c>
      <c r="AC404" s="171" t="e">
        <f t="shared" ref="AC404:AC467" si="261">(IMDIV(IMPRODUCT(P404,T404,W404),IMPRODUCT(Q404,Z404)))</f>
        <v>#DIV/0!</v>
      </c>
      <c r="AD404" s="190" t="e">
        <f t="shared" ref="AD404:AD467" si="262">20*LOG(IMABS(AC404))</f>
        <v>#DIV/0!</v>
      </c>
      <c r="AE404" s="169" t="e">
        <f t="shared" ref="AE404:AE467" si="263">(180/PI())*IMARGUMENT(AC404)</f>
        <v>#DIV/0!</v>
      </c>
      <c r="AF404" s="98" t="str">
        <f t="shared" si="249"/>
        <v>-0.0000182926829268293</v>
      </c>
      <c r="AG404" s="98" t="str">
        <f t="shared" si="250"/>
        <v>0.010114022675106i</v>
      </c>
      <c r="AH404" s="98">
        <f t="shared" ref="AH404:AH467" si="264">IMABS(AG404)</f>
        <v>1.0114022675105999E-2</v>
      </c>
      <c r="AI404" s="98">
        <f t="shared" ref="AI404:AI467" si="265">IMARGUMENT(AG404)</f>
        <v>1.5707963267948966</v>
      </c>
      <c r="AJ404" s="98" t="str">
        <f t="shared" si="251"/>
        <v>1+0.99147364720184i</v>
      </c>
      <c r="AK404" s="98">
        <f t="shared" ref="AK404:AK467" si="266">IMABS(AJ404)</f>
        <v>1.4081974268886159</v>
      </c>
      <c r="AL404" s="98">
        <f t="shared" ref="AL404:AL467" si="267">IMARGUMENT(AJ404)</f>
        <v>0.78111676067193514</v>
      </c>
      <c r="AM404" s="98" t="str">
        <f t="shared" si="252"/>
        <v>1+100.138838367386i</v>
      </c>
      <c r="AN404" s="98">
        <f t="shared" ref="AN404:AN467" si="268">IMABS(AM404)</f>
        <v>100.14383131061771</v>
      </c>
      <c r="AO404" s="98">
        <f t="shared" ref="AO404:AO467" si="269">IMARGUMENT(AM404)</f>
        <v>1.5608105233112042</v>
      </c>
      <c r="AP404" s="168" t="str">
        <f t="shared" ref="AP404:AP467" si="270">IMPRODUCT(AF404,IMDIV(AM404,IMPRODUCT(AG404,AJ404)))</f>
        <v>-0.0904289662669+0.091466582628698i</v>
      </c>
      <c r="AQ404" s="98">
        <f t="shared" ref="AQ404:AQ467" si="271">20*LOG(IMABS(AP404))</f>
        <v>-17.813717201227202</v>
      </c>
      <c r="AR404" s="169">
        <f t="shared" ref="AR404:AR467" si="272">(180/PI())*IMARGUMENT(AP404)</f>
        <v>134.67316191190503</v>
      </c>
      <c r="AS404" s="168" t="e">
        <f t="shared" ref="AS404:AS467" si="273">IMPRODUCT(AC404,AP404)</f>
        <v>#DIV/0!</v>
      </c>
      <c r="AT404" s="190" t="e">
        <f t="shared" ref="AT404:AT467" si="274">20*LOG(IMABS(AS404))</f>
        <v>#DIV/0!</v>
      </c>
      <c r="AU404" s="169" t="e">
        <f t="shared" ref="AU404:AU467" si="275">(180/PI())*IMARGUMENT(AS404)</f>
        <v>#DIV/0!</v>
      </c>
      <c r="AV404" s="225"/>
      <c r="AX404" t="e">
        <f t="shared" ref="AX404:AX467" si="276">SUM((AT405&lt;0)*(AT404&gt;0))*O404</f>
        <v>#DIV/0!</v>
      </c>
      <c r="AY404" t="e">
        <f t="shared" ref="AY404:AY467" si="277">IF(AX404&gt;0,AU404,0)</f>
        <v>#DIV/0!</v>
      </c>
    </row>
    <row r="405" spans="14:51" x14ac:dyDescent="0.25">
      <c r="N405" s="170">
        <v>87</v>
      </c>
      <c r="O405" s="199">
        <f t="shared" si="243"/>
        <v>74131.024130091857</v>
      </c>
      <c r="P405" s="189" t="str">
        <f t="shared" si="244"/>
        <v>290</v>
      </c>
      <c r="Q405" s="160" t="e">
        <f t="shared" si="245"/>
        <v>#DIV/0!</v>
      </c>
      <c r="R405" s="160" t="e">
        <f t="shared" si="253"/>
        <v>#DIV/0!</v>
      </c>
      <c r="S405" s="160" t="e">
        <f t="shared" si="254"/>
        <v>#DIV/0!</v>
      </c>
      <c r="T405" s="160" t="e">
        <f t="shared" si="246"/>
        <v>#DIV/0!</v>
      </c>
      <c r="U405" s="160" t="e">
        <f t="shared" si="255"/>
        <v>#DIV/0!</v>
      </c>
      <c r="V405" s="160" t="e">
        <f t="shared" si="256"/>
        <v>#DIV/0!</v>
      </c>
      <c r="W405" s="98" t="str">
        <f t="shared" si="247"/>
        <v>1-3.71167610041233i</v>
      </c>
      <c r="X405" s="160">
        <f t="shared" si="257"/>
        <v>3.8440264663984927</v>
      </c>
      <c r="Y405" s="160">
        <f t="shared" si="258"/>
        <v>-1.3076251055938155</v>
      </c>
      <c r="Z405" s="98" t="str">
        <f t="shared" si="248"/>
        <v>0.886458497136854+0.440752360039435i</v>
      </c>
      <c r="AA405" s="160">
        <f t="shared" si="259"/>
        <v>0.98998551000833424</v>
      </c>
      <c r="AB405" s="160">
        <f t="shared" si="260"/>
        <v>0.46140980018840438</v>
      </c>
      <c r="AC405" s="171" t="e">
        <f t="shared" si="261"/>
        <v>#DIV/0!</v>
      </c>
      <c r="AD405" s="190" t="e">
        <f t="shared" si="262"/>
        <v>#DIV/0!</v>
      </c>
      <c r="AE405" s="169" t="e">
        <f t="shared" si="263"/>
        <v>#DIV/0!</v>
      </c>
      <c r="AF405" s="98" t="str">
        <f t="shared" si="249"/>
        <v>-0.0000182926829268293</v>
      </c>
      <c r="AG405" s="98" t="str">
        <f t="shared" si="250"/>
        <v>0.0103496085272046i</v>
      </c>
      <c r="AH405" s="98">
        <f t="shared" si="264"/>
        <v>1.0349608527204599E-2</v>
      </c>
      <c r="AI405" s="98">
        <f t="shared" si="265"/>
        <v>1.5707963267948966</v>
      </c>
      <c r="AJ405" s="98" t="str">
        <f t="shared" si="251"/>
        <v>1+1.01456803521269i</v>
      </c>
      <c r="AK405" s="98">
        <f t="shared" si="266"/>
        <v>1.4245519639786182</v>
      </c>
      <c r="AL405" s="98">
        <f t="shared" si="267"/>
        <v>0.79262938172008768</v>
      </c>
      <c r="AM405" s="98" t="str">
        <f t="shared" si="252"/>
        <v>1+102.471371556481i</v>
      </c>
      <c r="AN405" s="98">
        <f t="shared" si="268"/>
        <v>102.47625085192365</v>
      </c>
      <c r="AO405" s="98">
        <f t="shared" si="269"/>
        <v>1.5610378133511122</v>
      </c>
      <c r="AP405" s="168" t="str">
        <f t="shared" si="270"/>
        <v>-0.088364549462659+0.0914193231612711i</v>
      </c>
      <c r="AQ405" s="98">
        <f t="shared" si="271"/>
        <v>-17.914031679284086</v>
      </c>
      <c r="AR405" s="169">
        <f t="shared" si="272"/>
        <v>134.0265600747245</v>
      </c>
      <c r="AS405" s="168" t="e">
        <f t="shared" si="273"/>
        <v>#DIV/0!</v>
      </c>
      <c r="AT405" s="190" t="e">
        <f t="shared" si="274"/>
        <v>#DIV/0!</v>
      </c>
      <c r="AU405" s="169" t="e">
        <f t="shared" si="275"/>
        <v>#DIV/0!</v>
      </c>
      <c r="AV405" s="225"/>
      <c r="AX405" t="e">
        <f t="shared" si="276"/>
        <v>#DIV/0!</v>
      </c>
      <c r="AY405" t="e">
        <f t="shared" si="277"/>
        <v>#DIV/0!</v>
      </c>
    </row>
    <row r="406" spans="14:51" x14ac:dyDescent="0.25">
      <c r="N406" s="170">
        <v>88</v>
      </c>
      <c r="O406" s="199">
        <f t="shared" si="243"/>
        <v>75857.757502918481</v>
      </c>
      <c r="P406" s="189" t="str">
        <f t="shared" si="244"/>
        <v>290</v>
      </c>
      <c r="Q406" s="160" t="e">
        <f t="shared" si="245"/>
        <v>#DIV/0!</v>
      </c>
      <c r="R406" s="160" t="e">
        <f t="shared" si="253"/>
        <v>#DIV/0!</v>
      </c>
      <c r="S406" s="160" t="e">
        <f t="shared" si="254"/>
        <v>#DIV/0!</v>
      </c>
      <c r="T406" s="160" t="e">
        <f t="shared" si="246"/>
        <v>#DIV/0!</v>
      </c>
      <c r="U406" s="160" t="e">
        <f t="shared" si="255"/>
        <v>#DIV/0!</v>
      </c>
      <c r="V406" s="160" t="e">
        <f t="shared" si="256"/>
        <v>#DIV/0!</v>
      </c>
      <c r="W406" s="98" t="str">
        <f t="shared" si="247"/>
        <v>1-3.79813214316788i</v>
      </c>
      <c r="X406" s="160">
        <f t="shared" si="257"/>
        <v>3.9275702128625318</v>
      </c>
      <c r="Y406" s="160">
        <f t="shared" si="258"/>
        <v>-1.313351581002413</v>
      </c>
      <c r="Z406" s="98" t="str">
        <f t="shared" si="248"/>
        <v>0.881107450963397+0.451018801359557i</v>
      </c>
      <c r="AA406" s="160">
        <f t="shared" si="259"/>
        <v>0.98983246022901594</v>
      </c>
      <c r="AB406" s="160">
        <f t="shared" si="260"/>
        <v>0.47310414665440981</v>
      </c>
      <c r="AC406" s="171" t="e">
        <f t="shared" si="261"/>
        <v>#DIV/0!</v>
      </c>
      <c r="AD406" s="190" t="e">
        <f t="shared" si="262"/>
        <v>#DIV/0!</v>
      </c>
      <c r="AE406" s="169" t="e">
        <f t="shared" si="263"/>
        <v>#DIV/0!</v>
      </c>
      <c r="AF406" s="98" t="str">
        <f t="shared" si="249"/>
        <v>-0.0000182926829268293</v>
      </c>
      <c r="AG406" s="98" t="str">
        <f t="shared" si="250"/>
        <v>0.0105906818787376i</v>
      </c>
      <c r="AH406" s="98">
        <f t="shared" si="264"/>
        <v>1.0590681878737599E-2</v>
      </c>
      <c r="AI406" s="98">
        <f t="shared" si="265"/>
        <v>1.5707963267948966</v>
      </c>
      <c r="AJ406" s="98" t="str">
        <f t="shared" si="251"/>
        <v>1+1.03820036062519i</v>
      </c>
      <c r="AK406" s="98">
        <f t="shared" si="266"/>
        <v>1.4414784038626021</v>
      </c>
      <c r="AL406" s="98">
        <f t="shared" si="267"/>
        <v>0.80413817023098799</v>
      </c>
      <c r="AM406" s="98" t="str">
        <f t="shared" si="252"/>
        <v>1+104.858236423144i</v>
      </c>
      <c r="AN406" s="98">
        <f t="shared" si="268"/>
        <v>104.86300465737172</v>
      </c>
      <c r="AO406" s="98">
        <f t="shared" si="269"/>
        <v>1.5612599306123698</v>
      </c>
      <c r="AP406" s="168" t="str">
        <f t="shared" si="270"/>
        <v>-0.0863015068525417+0.0913254987054967i</v>
      </c>
      <c r="AQ406" s="98">
        <f t="shared" si="271"/>
        <v>-18.01664718045383</v>
      </c>
      <c r="AR406" s="169">
        <f t="shared" si="272"/>
        <v>133.37988144736855</v>
      </c>
      <c r="AS406" s="168" t="e">
        <f t="shared" si="273"/>
        <v>#DIV/0!</v>
      </c>
      <c r="AT406" s="190" t="e">
        <f t="shared" si="274"/>
        <v>#DIV/0!</v>
      </c>
      <c r="AU406" s="169" t="e">
        <f t="shared" si="275"/>
        <v>#DIV/0!</v>
      </c>
      <c r="AV406" s="225"/>
      <c r="AX406" t="e">
        <f t="shared" si="276"/>
        <v>#DIV/0!</v>
      </c>
      <c r="AY406" t="e">
        <f t="shared" si="277"/>
        <v>#DIV/0!</v>
      </c>
    </row>
    <row r="407" spans="14:51" x14ac:dyDescent="0.25">
      <c r="N407" s="170">
        <v>89</v>
      </c>
      <c r="O407" s="199">
        <f t="shared" si="243"/>
        <v>77624.711662869129</v>
      </c>
      <c r="P407" s="189" t="str">
        <f t="shared" si="244"/>
        <v>290</v>
      </c>
      <c r="Q407" s="160" t="e">
        <f t="shared" si="245"/>
        <v>#DIV/0!</v>
      </c>
      <c r="R407" s="160" t="e">
        <f t="shared" si="253"/>
        <v>#DIV/0!</v>
      </c>
      <c r="S407" s="160" t="e">
        <f t="shared" si="254"/>
        <v>#DIV/0!</v>
      </c>
      <c r="T407" s="160" t="e">
        <f t="shared" si="246"/>
        <v>#DIV/0!</v>
      </c>
      <c r="U407" s="160" t="e">
        <f t="shared" si="255"/>
        <v>#DIV/0!</v>
      </c>
      <c r="V407" s="160" t="e">
        <f t="shared" si="256"/>
        <v>#DIV/0!</v>
      </c>
      <c r="W407" s="98" t="str">
        <f t="shared" si="247"/>
        <v>1-3.88660200585997i</v>
      </c>
      <c r="X407" s="160">
        <f t="shared" si="257"/>
        <v>4.0131876547147343</v>
      </c>
      <c r="Y407" s="160">
        <f t="shared" si="258"/>
        <v>-1.3189644409827559</v>
      </c>
      <c r="Z407" s="98" t="str">
        <f t="shared" si="248"/>
        <v>0.875504217753232+0.461524378818099i</v>
      </c>
      <c r="AA407" s="160">
        <f t="shared" si="259"/>
        <v>0.98970318153834924</v>
      </c>
      <c r="AB407" s="160">
        <f t="shared" si="260"/>
        <v>0.4851330411955459</v>
      </c>
      <c r="AC407" s="171" t="e">
        <f t="shared" si="261"/>
        <v>#DIV/0!</v>
      </c>
      <c r="AD407" s="190" t="e">
        <f t="shared" si="262"/>
        <v>#DIV/0!</v>
      </c>
      <c r="AE407" s="169" t="e">
        <f t="shared" si="263"/>
        <v>#DIV/0!</v>
      </c>
      <c r="AF407" s="98" t="str">
        <f t="shared" si="249"/>
        <v>-0.0000182926829268293</v>
      </c>
      <c r="AG407" s="98" t="str">
        <f t="shared" si="250"/>
        <v>0.0108373705499869i</v>
      </c>
      <c r="AH407" s="98">
        <f t="shared" si="264"/>
        <v>1.08373705499869E-2</v>
      </c>
      <c r="AI407" s="98">
        <f t="shared" si="265"/>
        <v>1.5707963267948966</v>
      </c>
      <c r="AJ407" s="98" t="str">
        <f t="shared" si="251"/>
        <v>1+1.06238315361111i</v>
      </c>
      <c r="AK407" s="98">
        <f t="shared" si="266"/>
        <v>1.4589921058993731</v>
      </c>
      <c r="AL407" s="98">
        <f t="shared" si="267"/>
        <v>0.81563703447215918</v>
      </c>
      <c r="AM407" s="98" t="str">
        <f t="shared" si="252"/>
        <v>1+107.300698514722i</v>
      </c>
      <c r="AN407" s="98">
        <f t="shared" si="268"/>
        <v>107.3053582154557</v>
      </c>
      <c r="AO407" s="98">
        <f t="shared" si="269"/>
        <v>1.5614769927767713</v>
      </c>
      <c r="AP407" s="168" t="str">
        <f t="shared" si="270"/>
        <v>-0.0842420205614297+0.0911852297847106i</v>
      </c>
      <c r="AQ407" s="98">
        <f t="shared" si="271"/>
        <v>-18.121560993712293</v>
      </c>
      <c r="AR407" s="169">
        <f t="shared" si="272"/>
        <v>132.73348180306743</v>
      </c>
      <c r="AS407" s="168" t="e">
        <f t="shared" si="273"/>
        <v>#DIV/0!</v>
      </c>
      <c r="AT407" s="190" t="e">
        <f t="shared" si="274"/>
        <v>#DIV/0!</v>
      </c>
      <c r="AU407" s="169" t="e">
        <f t="shared" si="275"/>
        <v>#DIV/0!</v>
      </c>
      <c r="AV407" s="225"/>
      <c r="AX407" t="e">
        <f t="shared" si="276"/>
        <v>#DIV/0!</v>
      </c>
      <c r="AY407" t="e">
        <f t="shared" si="277"/>
        <v>#DIV/0!</v>
      </c>
    </row>
    <row r="408" spans="14:51" x14ac:dyDescent="0.25">
      <c r="N408" s="170">
        <v>90</v>
      </c>
      <c r="O408" s="199">
        <f t="shared" si="243"/>
        <v>79432.823472428237</v>
      </c>
      <c r="P408" s="189" t="str">
        <f t="shared" si="244"/>
        <v>290</v>
      </c>
      <c r="Q408" s="160" t="e">
        <f t="shared" si="245"/>
        <v>#DIV/0!</v>
      </c>
      <c r="R408" s="160" t="e">
        <f t="shared" si="253"/>
        <v>#DIV/0!</v>
      </c>
      <c r="S408" s="160" t="e">
        <f t="shared" si="254"/>
        <v>#DIV/0!</v>
      </c>
      <c r="T408" s="160" t="e">
        <f t="shared" si="246"/>
        <v>#DIV/0!</v>
      </c>
      <c r="U408" s="160" t="e">
        <f t="shared" si="255"/>
        <v>#DIV/0!</v>
      </c>
      <c r="V408" s="160" t="e">
        <f t="shared" si="256"/>
        <v>#DIV/0!</v>
      </c>
      <c r="W408" s="98" t="str">
        <f t="shared" si="247"/>
        <v>1-3.97713259638084i</v>
      </c>
      <c r="X408" s="160">
        <f t="shared" si="257"/>
        <v>4.1009247358608043</v>
      </c>
      <c r="Y408" s="160">
        <f t="shared" si="258"/>
        <v>-1.3244652463286171</v>
      </c>
      <c r="Z408" s="98" t="str">
        <f t="shared" si="248"/>
        <v>0.869636912297481+0.47227466261129i</v>
      </c>
      <c r="AA408" s="160">
        <f t="shared" si="259"/>
        <v>0.98960179677226967</v>
      </c>
      <c r="AB408" s="160">
        <f t="shared" si="260"/>
        <v>0.49750794784465957</v>
      </c>
      <c r="AC408" s="171" t="e">
        <f t="shared" si="261"/>
        <v>#DIV/0!</v>
      </c>
      <c r="AD408" s="190" t="e">
        <f t="shared" si="262"/>
        <v>#DIV/0!</v>
      </c>
      <c r="AE408" s="169" t="e">
        <f t="shared" si="263"/>
        <v>#DIV/0!</v>
      </c>
      <c r="AF408" s="98" t="str">
        <f t="shared" si="249"/>
        <v>-0.0000182926829268293</v>
      </c>
      <c r="AG408" s="98" t="str">
        <f t="shared" si="250"/>
        <v>0.0110898053385515i</v>
      </c>
      <c r="AH408" s="98">
        <f t="shared" si="264"/>
        <v>1.1089805338551501E-2</v>
      </c>
      <c r="AI408" s="98">
        <f t="shared" si="265"/>
        <v>1.5707963267948966</v>
      </c>
      <c r="AJ408" s="98" t="str">
        <f t="shared" si="251"/>
        <v>1+1.08712923620738i</v>
      </c>
      <c r="AK408" s="98">
        <f t="shared" si="266"/>
        <v>1.4771086541676077</v>
      </c>
      <c r="AL408" s="98">
        <f t="shared" si="267"/>
        <v>0.82711990895307952</v>
      </c>
      <c r="AM408" s="98" t="str">
        <f t="shared" si="252"/>
        <v>1+109.800052856945i</v>
      </c>
      <c r="AN408" s="98">
        <f t="shared" si="268"/>
        <v>109.80460649439037</v>
      </c>
      <c r="AO408" s="98">
        <f t="shared" si="269"/>
        <v>1.5616891148516854</v>
      </c>
      <c r="AP408" s="168" t="str">
        <f t="shared" si="270"/>
        <v>-0.0821882576790053+0.0909987622161483i</v>
      </c>
      <c r="AQ408" s="98">
        <f t="shared" si="271"/>
        <v>-18.228767980048111</v>
      </c>
      <c r="AR408" s="169">
        <f t="shared" si="272"/>
        <v>132.08771525826654</v>
      </c>
      <c r="AS408" s="168" t="e">
        <f t="shared" si="273"/>
        <v>#DIV/0!</v>
      </c>
      <c r="AT408" s="190" t="e">
        <f t="shared" si="274"/>
        <v>#DIV/0!</v>
      </c>
      <c r="AU408" s="169" t="e">
        <f t="shared" si="275"/>
        <v>#DIV/0!</v>
      </c>
      <c r="AV408" s="225"/>
      <c r="AX408" t="e">
        <f t="shared" si="276"/>
        <v>#DIV/0!</v>
      </c>
      <c r="AY408" t="e">
        <f t="shared" si="277"/>
        <v>#DIV/0!</v>
      </c>
    </row>
    <row r="409" spans="14:51" x14ac:dyDescent="0.25">
      <c r="N409" s="170">
        <v>91</v>
      </c>
      <c r="O409" s="199">
        <f t="shared" si="243"/>
        <v>81283.051616410012</v>
      </c>
      <c r="P409" s="189" t="str">
        <f t="shared" si="244"/>
        <v>290</v>
      </c>
      <c r="Q409" s="160" t="e">
        <f t="shared" si="245"/>
        <v>#DIV/0!</v>
      </c>
      <c r="R409" s="160" t="e">
        <f t="shared" si="253"/>
        <v>#DIV/0!</v>
      </c>
      <c r="S409" s="160" t="e">
        <f t="shared" si="254"/>
        <v>#DIV/0!</v>
      </c>
      <c r="T409" s="160" t="e">
        <f t="shared" si="246"/>
        <v>#DIV/0!</v>
      </c>
      <c r="U409" s="160" t="e">
        <f t="shared" si="255"/>
        <v>#DIV/0!</v>
      </c>
      <c r="V409" s="160" t="e">
        <f t="shared" si="256"/>
        <v>#DIV/0!</v>
      </c>
      <c r="W409" s="98" t="str">
        <f t="shared" si="247"/>
        <v>1-4.06977191524787i</v>
      </c>
      <c r="X409" s="160">
        <f t="shared" si="257"/>
        <v>4.1908284911387526</v>
      </c>
      <c r="Y409" s="160">
        <f t="shared" si="258"/>
        <v>-1.3298555814916522</v>
      </c>
      <c r="Z409" s="98" t="str">
        <f t="shared" si="248"/>
        <v>0.863493089254629+0.483275352681891i</v>
      </c>
      <c r="AA409" s="160">
        <f t="shared" si="259"/>
        <v>0.98953291087275552</v>
      </c>
      <c r="AB409" s="160">
        <f t="shared" si="260"/>
        <v>0.51024075068006935</v>
      </c>
      <c r="AC409" s="171" t="e">
        <f t="shared" si="261"/>
        <v>#DIV/0!</v>
      </c>
      <c r="AD409" s="190" t="e">
        <f t="shared" si="262"/>
        <v>#DIV/0!</v>
      </c>
      <c r="AE409" s="169" t="e">
        <f t="shared" si="263"/>
        <v>#DIV/0!</v>
      </c>
      <c r="AF409" s="98" t="str">
        <f t="shared" si="249"/>
        <v>-0.0000182926829268293</v>
      </c>
      <c r="AG409" s="98" t="str">
        <f t="shared" si="250"/>
        <v>0.0113481200886974i</v>
      </c>
      <c r="AH409" s="98">
        <f t="shared" si="264"/>
        <v>1.13481200886974E-2</v>
      </c>
      <c r="AI409" s="98">
        <f t="shared" si="265"/>
        <v>1.5707963267948966</v>
      </c>
      <c r="AJ409" s="98" t="str">
        <f t="shared" si="251"/>
        <v>1+1.11245172911454i</v>
      </c>
      <c r="AK409" s="98">
        <f t="shared" si="266"/>
        <v>1.4958438586998075</v>
      </c>
      <c r="AL409" s="98">
        <f t="shared" si="267"/>
        <v>0.83858077034955925</v>
      </c>
      <c r="AM409" s="98" t="str">
        <f t="shared" si="252"/>
        <v>1+112.357624640568i</v>
      </c>
      <c r="AN409" s="98">
        <f t="shared" si="268"/>
        <v>112.36207462872326</v>
      </c>
      <c r="AO409" s="98">
        <f t="shared" si="269"/>
        <v>1.5618964092306433</v>
      </c>
      <c r="AP409" s="168" t="str">
        <f t="shared" si="270"/>
        <v>-0.0801423611795122+0.0907664653851737i</v>
      </c>
      <c r="AQ409" s="98">
        <f t="shared" si="271"/>
        <v>-18.338260594391254</v>
      </c>
      <c r="AR409" s="169">
        <f t="shared" si="272"/>
        <v>131.44293336369478</v>
      </c>
      <c r="AS409" s="168" t="e">
        <f t="shared" si="273"/>
        <v>#DIV/0!</v>
      </c>
      <c r="AT409" s="190" t="e">
        <f t="shared" si="274"/>
        <v>#DIV/0!</v>
      </c>
      <c r="AU409" s="169" t="e">
        <f t="shared" si="275"/>
        <v>#DIV/0!</v>
      </c>
      <c r="AV409" s="225"/>
      <c r="AX409" t="e">
        <f t="shared" si="276"/>
        <v>#DIV/0!</v>
      </c>
      <c r="AY409" t="e">
        <f t="shared" si="277"/>
        <v>#DIV/0!</v>
      </c>
    </row>
    <row r="410" spans="14:51" x14ac:dyDescent="0.25">
      <c r="N410" s="170">
        <v>92</v>
      </c>
      <c r="O410" s="199">
        <f t="shared" si="243"/>
        <v>83176.377110267174</v>
      </c>
      <c r="P410" s="189" t="str">
        <f t="shared" si="244"/>
        <v>290</v>
      </c>
      <c r="Q410" s="160" t="e">
        <f t="shared" si="245"/>
        <v>#DIV/0!</v>
      </c>
      <c r="R410" s="160" t="e">
        <f t="shared" si="253"/>
        <v>#DIV/0!</v>
      </c>
      <c r="S410" s="160" t="e">
        <f t="shared" si="254"/>
        <v>#DIV/0!</v>
      </c>
      <c r="T410" s="160" t="e">
        <f t="shared" si="246"/>
        <v>#DIV/0!</v>
      </c>
      <c r="U410" s="160" t="e">
        <f t="shared" si="255"/>
        <v>#DIV/0!</v>
      </c>
      <c r="V410" s="160" t="e">
        <f t="shared" si="256"/>
        <v>#DIV/0!</v>
      </c>
      <c r="W410" s="98" t="str">
        <f t="shared" si="247"/>
        <v>1-4.16456908105417i</v>
      </c>
      <c r="X410" s="160">
        <f t="shared" si="257"/>
        <v>4.2829470730879189</v>
      </c>
      <c r="Y410" s="160">
        <f t="shared" si="258"/>
        <v>-1.3351370510009981</v>
      </c>
      <c r="Z410" s="98" t="str">
        <f t="shared" si="248"/>
        <v>0.857059716752286+0.494532281741389i</v>
      </c>
      <c r="AA410" s="160">
        <f t="shared" si="259"/>
        <v>0.98950166031384357</v>
      </c>
      <c r="AB410" s="160">
        <f t="shared" si="260"/>
        <v>0.5233437589475215</v>
      </c>
      <c r="AC410" s="171" t="e">
        <f t="shared" si="261"/>
        <v>#DIV/0!</v>
      </c>
      <c r="AD410" s="190" t="e">
        <f t="shared" si="262"/>
        <v>#DIV/0!</v>
      </c>
      <c r="AE410" s="169" t="e">
        <f t="shared" si="263"/>
        <v>#DIV/0!</v>
      </c>
      <c r="AF410" s="98" t="str">
        <f t="shared" si="249"/>
        <v>-0.0000182926829268293</v>
      </c>
      <c r="AG410" s="98" t="str">
        <f t="shared" si="250"/>
        <v>0.0116124517623245i</v>
      </c>
      <c r="AH410" s="98">
        <f t="shared" si="264"/>
        <v>1.16124517623245E-2</v>
      </c>
      <c r="AI410" s="98">
        <f t="shared" si="265"/>
        <v>1.5707963267948966</v>
      </c>
      <c r="AJ410" s="98" t="str">
        <f t="shared" si="251"/>
        <v>1+1.13836405865351i</v>
      </c>
      <c r="AK410" s="98">
        <f t="shared" si="266"/>
        <v>1.5152137572085635</v>
      </c>
      <c r="AL410" s="98">
        <f t="shared" si="267"/>
        <v>0.85001365315761512</v>
      </c>
      <c r="AM410" s="98" t="str">
        <f t="shared" si="252"/>
        <v>1+114.974769924005i</v>
      </c>
      <c r="AN410" s="98">
        <f t="shared" si="268"/>
        <v>114.97911862193885</v>
      </c>
      <c r="AO410" s="98">
        <f t="shared" si="269"/>
        <v>1.5620989857525671</v>
      </c>
      <c r="AP410" s="168" t="str">
        <f t="shared" si="270"/>
        <v>-0.0781064410567651+0.0904888297404099i</v>
      </c>
      <c r="AQ410" s="98">
        <f t="shared" si="271"/>
        <v>-18.450028917553013</v>
      </c>
      <c r="AR410" s="169">
        <f t="shared" si="272"/>
        <v>130.79948421086027</v>
      </c>
      <c r="AS410" s="168" t="e">
        <f t="shared" si="273"/>
        <v>#DIV/0!</v>
      </c>
      <c r="AT410" s="190" t="e">
        <f t="shared" si="274"/>
        <v>#DIV/0!</v>
      </c>
      <c r="AU410" s="169" t="e">
        <f t="shared" si="275"/>
        <v>#DIV/0!</v>
      </c>
      <c r="AV410" s="225"/>
      <c r="AX410" t="e">
        <f t="shared" si="276"/>
        <v>#DIV/0!</v>
      </c>
      <c r="AY410" t="e">
        <f t="shared" si="277"/>
        <v>#DIV/0!</v>
      </c>
    </row>
    <row r="411" spans="14:51" x14ac:dyDescent="0.25">
      <c r="N411" s="170">
        <v>93</v>
      </c>
      <c r="O411" s="199">
        <f t="shared" si="243"/>
        <v>85113.803820237721</v>
      </c>
      <c r="P411" s="189" t="str">
        <f t="shared" si="244"/>
        <v>290</v>
      </c>
      <c r="Q411" s="160" t="e">
        <f t="shared" si="245"/>
        <v>#DIV/0!</v>
      </c>
      <c r="R411" s="160" t="e">
        <f t="shared" si="253"/>
        <v>#DIV/0!</v>
      </c>
      <c r="S411" s="160" t="e">
        <f t="shared" si="254"/>
        <v>#DIV/0!</v>
      </c>
      <c r="T411" s="160" t="e">
        <f t="shared" si="246"/>
        <v>#DIV/0!</v>
      </c>
      <c r="U411" s="160" t="e">
        <f t="shared" si="255"/>
        <v>#DIV/0!</v>
      </c>
      <c r="V411" s="160" t="e">
        <f t="shared" si="256"/>
        <v>#DIV/0!</v>
      </c>
      <c r="W411" s="98" t="str">
        <f t="shared" si="247"/>
        <v>1-4.26157435651183i</v>
      </c>
      <c r="X411" s="160">
        <f t="shared" si="257"/>
        <v>4.3773297792237704</v>
      </c>
      <c r="Y411" s="160">
        <f t="shared" si="258"/>
        <v>-1.3403112760819991</v>
      </c>
      <c r="Z411" s="98" t="str">
        <f t="shared" si="248"/>
        <v>0.850323148744837+0.506051418362574i</v>
      </c>
      <c r="AA411" s="160">
        <f t="shared" si="259"/>
        <v>0.98951376711903671</v>
      </c>
      <c r="AB411" s="160">
        <f t="shared" si="260"/>
        <v>0.5368297097840915</v>
      </c>
      <c r="AC411" s="171" t="e">
        <f t="shared" si="261"/>
        <v>#DIV/0!</v>
      </c>
      <c r="AD411" s="190" t="e">
        <f t="shared" si="262"/>
        <v>#DIV/0!</v>
      </c>
      <c r="AE411" s="169" t="e">
        <f t="shared" si="263"/>
        <v>#DIV/0!</v>
      </c>
      <c r="AF411" s="98" t="str">
        <f t="shared" si="249"/>
        <v>-0.0000182926829268293</v>
      </c>
      <c r="AG411" s="98" t="str">
        <f t="shared" si="250"/>
        <v>0.011882940511585i</v>
      </c>
      <c r="AH411" s="98">
        <f t="shared" si="264"/>
        <v>1.1882940511585E-2</v>
      </c>
      <c r="AI411" s="98">
        <f t="shared" si="265"/>
        <v>1.5707963267948966</v>
      </c>
      <c r="AJ411" s="98" t="str">
        <f t="shared" si="251"/>
        <v>1+1.16487996388442i</v>
      </c>
      <c r="AK411" s="98">
        <f t="shared" si="266"/>
        <v>1.5352346173335747</v>
      </c>
      <c r="AL411" s="98">
        <f t="shared" si="267"/>
        <v>0.86141266497860414</v>
      </c>
      <c r="AM411" s="98" t="str">
        <f t="shared" si="252"/>
        <v>1+117.652876352326i</v>
      </c>
      <c r="AN411" s="98">
        <f t="shared" si="268"/>
        <v>117.65712606542671</v>
      </c>
      <c r="AO411" s="98">
        <f t="shared" si="269"/>
        <v>1.5622969517596661</v>
      </c>
      <c r="AP411" s="168" t="str">
        <f t="shared" si="270"/>
        <v>-0.0760825657515391+0.0901664635393676i</v>
      </c>
      <c r="AQ411" s="98">
        <f t="shared" si="271"/>
        <v>-18.564060697893531</v>
      </c>
      <c r="AR411" s="169">
        <f t="shared" si="272"/>
        <v>130.15771155959175</v>
      </c>
      <c r="AS411" s="168" t="e">
        <f t="shared" si="273"/>
        <v>#DIV/0!</v>
      </c>
      <c r="AT411" s="190" t="e">
        <f t="shared" si="274"/>
        <v>#DIV/0!</v>
      </c>
      <c r="AU411" s="169" t="e">
        <f t="shared" si="275"/>
        <v>#DIV/0!</v>
      </c>
      <c r="AV411" s="225"/>
      <c r="AX411" t="e">
        <f t="shared" si="276"/>
        <v>#DIV/0!</v>
      </c>
      <c r="AY411" t="e">
        <f t="shared" si="277"/>
        <v>#DIV/0!</v>
      </c>
    </row>
    <row r="412" spans="14:51" x14ac:dyDescent="0.25">
      <c r="N412" s="170">
        <v>94</v>
      </c>
      <c r="O412" s="199">
        <f t="shared" si="243"/>
        <v>87096.358995608127</v>
      </c>
      <c r="P412" s="189" t="str">
        <f t="shared" si="244"/>
        <v>290</v>
      </c>
      <c r="Q412" s="160" t="e">
        <f t="shared" si="245"/>
        <v>#DIV/0!</v>
      </c>
      <c r="R412" s="160" t="e">
        <f t="shared" si="253"/>
        <v>#DIV/0!</v>
      </c>
      <c r="S412" s="160" t="e">
        <f t="shared" si="254"/>
        <v>#DIV/0!</v>
      </c>
      <c r="T412" s="160" t="e">
        <f t="shared" si="246"/>
        <v>#DIV/0!</v>
      </c>
      <c r="U412" s="160" t="e">
        <f t="shared" si="255"/>
        <v>#DIV/0!</v>
      </c>
      <c r="V412" s="160" t="e">
        <f t="shared" si="256"/>
        <v>#DIV/0!</v>
      </c>
      <c r="W412" s="98" t="str">
        <f t="shared" si="247"/>
        <v>1-4.36083917510193i</v>
      </c>
      <c r="X412" s="160">
        <f t="shared" si="257"/>
        <v>4.4740270798357589</v>
      </c>
      <c r="Y412" s="160">
        <f t="shared" si="258"/>
        <v>-1.3453798914691926</v>
      </c>
      <c r="Z412" s="98" t="str">
        <f t="shared" si="248"/>
        <v>0.84326909606835+0.517838870144159i</v>
      </c>
      <c r="AA412" s="160">
        <f t="shared" si="259"/>
        <v>0.98957559782773108</v>
      </c>
      <c r="AB412" s="160">
        <f t="shared" si="260"/>
        <v>0.55071176802224531</v>
      </c>
      <c r="AC412" s="171" t="e">
        <f t="shared" si="261"/>
        <v>#DIV/0!</v>
      </c>
      <c r="AD412" s="190" t="e">
        <f t="shared" si="262"/>
        <v>#DIV/0!</v>
      </c>
      <c r="AE412" s="169" t="e">
        <f t="shared" si="263"/>
        <v>#DIV/0!</v>
      </c>
      <c r="AF412" s="98" t="str">
        <f t="shared" si="249"/>
        <v>-0.0000182926829268293</v>
      </c>
      <c r="AG412" s="98" t="str">
        <f t="shared" si="250"/>
        <v>0.012159729753194i</v>
      </c>
      <c r="AH412" s="98">
        <f t="shared" si="264"/>
        <v>1.2159729753194E-2</v>
      </c>
      <c r="AI412" s="98">
        <f t="shared" si="265"/>
        <v>1.5707963267948966</v>
      </c>
      <c r="AJ412" s="98" t="str">
        <f t="shared" si="251"/>
        <v>1+1.19201350389118i</v>
      </c>
      <c r="AK412" s="98">
        <f t="shared" si="266"/>
        <v>1.5559229394346394</v>
      </c>
      <c r="AL412" s="98">
        <f t="shared" si="267"/>
        <v>0.87277200134166077</v>
      </c>
      <c r="AM412" s="98" t="str">
        <f t="shared" si="252"/>
        <v>1+120.39336389301i</v>
      </c>
      <c r="AN412" s="98">
        <f t="shared" si="268"/>
        <v>120.397516874206</v>
      </c>
      <c r="AO412" s="98">
        <f t="shared" si="269"/>
        <v>1.5624904121540348</v>
      </c>
      <c r="AP412" s="168" t="str">
        <f t="shared" si="270"/>
        <v>-0.0740727539440798+0.0898000888826819i</v>
      </c>
      <c r="AQ412" s="98">
        <f t="shared" si="271"/>
        <v>-18.680341402349264</v>
      </c>
      <c r="AR412" s="169">
        <f t="shared" si="272"/>
        <v>129.51795399201936</v>
      </c>
      <c r="AS412" s="168" t="e">
        <f t="shared" si="273"/>
        <v>#DIV/0!</v>
      </c>
      <c r="AT412" s="190" t="e">
        <f t="shared" si="274"/>
        <v>#DIV/0!</v>
      </c>
      <c r="AU412" s="169" t="e">
        <f t="shared" si="275"/>
        <v>#DIV/0!</v>
      </c>
      <c r="AV412" s="225"/>
      <c r="AX412" t="e">
        <f t="shared" si="276"/>
        <v>#DIV/0!</v>
      </c>
      <c r="AY412" t="e">
        <f t="shared" si="277"/>
        <v>#DIV/0!</v>
      </c>
    </row>
    <row r="413" spans="14:51" x14ac:dyDescent="0.25">
      <c r="N413" s="170">
        <v>95</v>
      </c>
      <c r="O413" s="199">
        <f t="shared" si="243"/>
        <v>89125.093813374609</v>
      </c>
      <c r="P413" s="189" t="str">
        <f t="shared" si="244"/>
        <v>290</v>
      </c>
      <c r="Q413" s="160" t="e">
        <f t="shared" si="245"/>
        <v>#DIV/0!</v>
      </c>
      <c r="R413" s="160" t="e">
        <f t="shared" si="253"/>
        <v>#DIV/0!</v>
      </c>
      <c r="S413" s="160" t="e">
        <f t="shared" si="254"/>
        <v>#DIV/0!</v>
      </c>
      <c r="T413" s="160" t="e">
        <f t="shared" si="246"/>
        <v>#DIV/0!</v>
      </c>
      <c r="U413" s="160" t="e">
        <f t="shared" si="255"/>
        <v>#DIV/0!</v>
      </c>
      <c r="V413" s="160" t="e">
        <f t="shared" si="256"/>
        <v>#DIV/0!</v>
      </c>
      <c r="W413" s="98" t="str">
        <f t="shared" si="247"/>
        <v>1-4.46241616834518i</v>
      </c>
      <c r="X413" s="160">
        <f t="shared" si="257"/>
        <v>4.5730906463253582</v>
      </c>
      <c r="Y413" s="160">
        <f t="shared" si="258"/>
        <v>-1.3503445424082032</v>
      </c>
      <c r="Z413" s="98" t="str">
        <f t="shared" si="248"/>
        <v>0.835882596131346+0.529900886949101i</v>
      </c>
      <c r="AA413" s="160">
        <f t="shared" si="259"/>
        <v>0.98969422778185523</v>
      </c>
      <c r="AB413" s="160">
        <f t="shared" si="260"/>
        <v>0.56500352247605967</v>
      </c>
      <c r="AC413" s="171" t="e">
        <f t="shared" si="261"/>
        <v>#DIV/0!</v>
      </c>
      <c r="AD413" s="190" t="e">
        <f t="shared" si="262"/>
        <v>#DIV/0!</v>
      </c>
      <c r="AE413" s="169" t="e">
        <f t="shared" si="263"/>
        <v>#DIV/0!</v>
      </c>
      <c r="AF413" s="98" t="str">
        <f t="shared" si="249"/>
        <v>-0.0000182926829268293</v>
      </c>
      <c r="AG413" s="98" t="str">
        <f t="shared" si="250"/>
        <v>0.0124429662444712i</v>
      </c>
      <c r="AH413" s="98">
        <f t="shared" si="264"/>
        <v>1.24429662444712E-2</v>
      </c>
      <c r="AI413" s="98">
        <f t="shared" si="265"/>
        <v>1.5707963267948966</v>
      </c>
      <c r="AJ413" s="98" t="str">
        <f t="shared" si="251"/>
        <v>1+1.21977906523588i</v>
      </c>
      <c r="AK413" s="98">
        <f t="shared" si="266"/>
        <v>1.5772954599528008</v>
      </c>
      <c r="AL413" s="98">
        <f t="shared" si="267"/>
        <v>0.88408595997503214</v>
      </c>
      <c r="AM413" s="98" t="str">
        <f t="shared" si="252"/>
        <v>1+123.197685588823i</v>
      </c>
      <c r="AN413" s="98">
        <f t="shared" si="268"/>
        <v>123.20174403977602</v>
      </c>
      <c r="AO413" s="98">
        <f t="shared" si="269"/>
        <v>1.5626794694529769</v>
      </c>
      <c r="AP413" s="168" t="str">
        <f t="shared" si="270"/>
        <v>-0.072078966778953+0.0893905370828976i</v>
      </c>
      <c r="AQ413" s="98">
        <f t="shared" si="271"/>
        <v>-18.798854276377973</v>
      </c>
      <c r="AR413" s="169">
        <f t="shared" si="272"/>
        <v>128.88054409805699</v>
      </c>
      <c r="AS413" s="168" t="e">
        <f t="shared" si="273"/>
        <v>#DIV/0!</v>
      </c>
      <c r="AT413" s="190" t="e">
        <f t="shared" si="274"/>
        <v>#DIV/0!</v>
      </c>
      <c r="AU413" s="169" t="e">
        <f t="shared" si="275"/>
        <v>#DIV/0!</v>
      </c>
      <c r="AV413" s="225"/>
      <c r="AX413" t="e">
        <f t="shared" si="276"/>
        <v>#DIV/0!</v>
      </c>
      <c r="AY413" t="e">
        <f t="shared" si="277"/>
        <v>#DIV/0!</v>
      </c>
    </row>
    <row r="414" spans="14:51" x14ac:dyDescent="0.25">
      <c r="N414" s="170">
        <v>96</v>
      </c>
      <c r="O414" s="199">
        <f t="shared" si="243"/>
        <v>91201.083935591028</v>
      </c>
      <c r="P414" s="189" t="str">
        <f t="shared" si="244"/>
        <v>290</v>
      </c>
      <c r="Q414" s="160" t="e">
        <f t="shared" si="245"/>
        <v>#DIV/0!</v>
      </c>
      <c r="R414" s="160" t="e">
        <f t="shared" si="253"/>
        <v>#DIV/0!</v>
      </c>
      <c r="S414" s="160" t="e">
        <f t="shared" si="254"/>
        <v>#DIV/0!</v>
      </c>
      <c r="T414" s="160" t="e">
        <f t="shared" si="246"/>
        <v>#DIV/0!</v>
      </c>
      <c r="U414" s="160" t="e">
        <f t="shared" si="255"/>
        <v>#DIV/0!</v>
      </c>
      <c r="V414" s="160" t="e">
        <f t="shared" si="256"/>
        <v>#DIV/0!</v>
      </c>
      <c r="W414" s="98" t="str">
        <f t="shared" si="247"/>
        <v>1-4.56635919370796i</v>
      </c>
      <c r="X414" s="160">
        <f t="shared" si="257"/>
        <v>4.6745733801023182</v>
      </c>
      <c r="Y414" s="160">
        <f t="shared" si="258"/>
        <v>-1.355206881840856</v>
      </c>
      <c r="Z414" s="98" t="str">
        <f t="shared" si="248"/>
        <v>0.828147981177134+0.542243864218371i</v>
      </c>
      <c r="AA414" s="160">
        <f t="shared" si="259"/>
        <v>0.9898775111144984</v>
      </c>
      <c r="AB414" s="160">
        <f t="shared" si="260"/>
        <v>0.57971897802796413</v>
      </c>
      <c r="AC414" s="171" t="e">
        <f t="shared" si="261"/>
        <v>#DIV/0!</v>
      </c>
      <c r="AD414" s="190" t="e">
        <f t="shared" si="262"/>
        <v>#DIV/0!</v>
      </c>
      <c r="AE414" s="169" t="e">
        <f t="shared" si="263"/>
        <v>#DIV/0!</v>
      </c>
      <c r="AF414" s="98" t="str">
        <f t="shared" si="249"/>
        <v>-0.0000182926829268293</v>
      </c>
      <c r="AG414" s="98" t="str">
        <f t="shared" si="250"/>
        <v>0.0127328001611533i</v>
      </c>
      <c r="AH414" s="98">
        <f t="shared" si="264"/>
        <v>1.27328001611533E-2</v>
      </c>
      <c r="AI414" s="98">
        <f t="shared" si="265"/>
        <v>1.5707963267948966</v>
      </c>
      <c r="AJ414" s="98" t="str">
        <f t="shared" si="251"/>
        <v>1+1.24819136958664i</v>
      </c>
      <c r="AK414" s="98">
        <f t="shared" si="266"/>
        <v>1.5993691553580029</v>
      </c>
      <c r="AL414" s="98">
        <f t="shared" si="267"/>
        <v>0.89534895444402118</v>
      </c>
      <c r="AM414" s="98" t="str">
        <f t="shared" si="252"/>
        <v>1+126.067328328251i</v>
      </c>
      <c r="AN414" s="98">
        <f t="shared" si="268"/>
        <v>126.07129440052179</v>
      </c>
      <c r="AO414" s="98">
        <f t="shared" si="269"/>
        <v>1.5628642238430843</v>
      </c>
      <c r="AP414" s="168" t="str">
        <f t="shared" si="270"/>
        <v>-0.0701031005831696+0.0889387434207781i</v>
      </c>
      <c r="AQ414" s="98">
        <f t="shared" si="271"/>
        <v>-18.919580412299997</v>
      </c>
      <c r="AR414" s="169">
        <f t="shared" si="272"/>
        <v>128.24580769710451</v>
      </c>
      <c r="AS414" s="168" t="e">
        <f t="shared" si="273"/>
        <v>#DIV/0!</v>
      </c>
      <c r="AT414" s="190" t="e">
        <f t="shared" si="274"/>
        <v>#DIV/0!</v>
      </c>
      <c r="AU414" s="169" t="e">
        <f t="shared" si="275"/>
        <v>#DIV/0!</v>
      </c>
      <c r="AV414" s="225"/>
      <c r="AX414" t="e">
        <f t="shared" si="276"/>
        <v>#DIV/0!</v>
      </c>
      <c r="AY414" t="e">
        <f t="shared" si="277"/>
        <v>#DIV/0!</v>
      </c>
    </row>
    <row r="415" spans="14:51" x14ac:dyDescent="0.25">
      <c r="N415" s="170">
        <v>97</v>
      </c>
      <c r="O415" s="199">
        <f t="shared" si="243"/>
        <v>93325.430079699145</v>
      </c>
      <c r="P415" s="189" t="str">
        <f t="shared" si="244"/>
        <v>290</v>
      </c>
      <c r="Q415" s="160" t="e">
        <f t="shared" si="245"/>
        <v>#DIV/0!</v>
      </c>
      <c r="R415" s="160" t="e">
        <f t="shared" si="253"/>
        <v>#DIV/0!</v>
      </c>
      <c r="S415" s="160" t="e">
        <f t="shared" si="254"/>
        <v>#DIV/0!</v>
      </c>
      <c r="T415" s="160" t="e">
        <f t="shared" si="246"/>
        <v>#DIV/0!</v>
      </c>
      <c r="U415" s="160" t="e">
        <f t="shared" si="255"/>
        <v>#DIV/0!</v>
      </c>
      <c r="V415" s="160" t="e">
        <f t="shared" si="256"/>
        <v>#DIV/0!</v>
      </c>
      <c r="W415" s="98" t="str">
        <f t="shared" si="247"/>
        <v>1-4.67272336315815i</v>
      </c>
      <c r="X415" s="160">
        <f t="shared" si="257"/>
        <v>4.7785294420568354</v>
      </c>
      <c r="Y415" s="160">
        <f t="shared" si="258"/>
        <v>-1.3599685677674933</v>
      </c>
      <c r="Z415" s="98" t="str">
        <f t="shared" si="248"/>
        <v>0.820048845050396+0.554874346361896i</v>
      </c>
      <c r="AA415" s="160">
        <f t="shared" si="259"/>
        <v>0.99013415682877537</v>
      </c>
      <c r="AB415" s="160">
        <f t="shared" si="260"/>
        <v>0.59487254274322365</v>
      </c>
      <c r="AC415" s="171" t="e">
        <f t="shared" si="261"/>
        <v>#DIV/0!</v>
      </c>
      <c r="AD415" s="190" t="e">
        <f t="shared" si="262"/>
        <v>#DIV/0!</v>
      </c>
      <c r="AE415" s="169" t="e">
        <f t="shared" si="263"/>
        <v>#DIV/0!</v>
      </c>
      <c r="AF415" s="98" t="str">
        <f t="shared" si="249"/>
        <v>-0.0000182926829268293</v>
      </c>
      <c r="AG415" s="98" t="str">
        <f t="shared" si="250"/>
        <v>0.0130293851770195i</v>
      </c>
      <c r="AH415" s="98">
        <f t="shared" si="264"/>
        <v>1.3029385177019501E-2</v>
      </c>
      <c r="AI415" s="98">
        <f t="shared" si="265"/>
        <v>1.5707963267948966</v>
      </c>
      <c r="AJ415" s="98" t="str">
        <f t="shared" si="251"/>
        <v>1+1.27726548152333i</v>
      </c>
      <c r="AK415" s="98">
        <f t="shared" si="266"/>
        <v>1.6221612466986823</v>
      </c>
      <c r="AL415" s="98">
        <f t="shared" si="267"/>
        <v>0.90655552708074549</v>
      </c>
      <c r="AM415" s="98" t="str">
        <f t="shared" si="252"/>
        <v>1+129.003813633856i</v>
      </c>
      <c r="AN415" s="98">
        <f t="shared" si="268"/>
        <v>129.00768943004388</v>
      </c>
      <c r="AO415" s="98">
        <f t="shared" si="269"/>
        <v>1.5630447732330999</v>
      </c>
      <c r="AP415" s="168" t="str">
        <f t="shared" si="270"/>
        <v>-0.0681469801312532+0.0884457413480541i</v>
      </c>
      <c r="AQ415" s="98">
        <f t="shared" si="271"/>
        <v>-19.042498825461152</v>
      </c>
      <c r="AR415" s="169">
        <f t="shared" si="272"/>
        <v>127.61406310025485</v>
      </c>
      <c r="AS415" s="168" t="e">
        <f t="shared" si="273"/>
        <v>#DIV/0!</v>
      </c>
      <c r="AT415" s="190" t="e">
        <f t="shared" si="274"/>
        <v>#DIV/0!</v>
      </c>
      <c r="AU415" s="169" t="e">
        <f t="shared" si="275"/>
        <v>#DIV/0!</v>
      </c>
      <c r="AV415" s="225"/>
      <c r="AX415" t="e">
        <f t="shared" si="276"/>
        <v>#DIV/0!</v>
      </c>
      <c r="AY415" t="e">
        <f t="shared" si="277"/>
        <v>#DIV/0!</v>
      </c>
    </row>
    <row r="416" spans="14:51" x14ac:dyDescent="0.25">
      <c r="N416" s="170">
        <v>98</v>
      </c>
      <c r="O416" s="199">
        <f t="shared" si="243"/>
        <v>95499.258602143804</v>
      </c>
      <c r="P416" s="189" t="str">
        <f t="shared" si="244"/>
        <v>290</v>
      </c>
      <c r="Q416" s="160" t="e">
        <f t="shared" si="245"/>
        <v>#DIV/0!</v>
      </c>
      <c r="R416" s="160" t="e">
        <f t="shared" si="253"/>
        <v>#DIV/0!</v>
      </c>
      <c r="S416" s="160" t="e">
        <f t="shared" si="254"/>
        <v>#DIV/0!</v>
      </c>
      <c r="T416" s="160" t="e">
        <f t="shared" si="246"/>
        <v>#DIV/0!</v>
      </c>
      <c r="U416" s="160" t="e">
        <f t="shared" si="255"/>
        <v>#DIV/0!</v>
      </c>
      <c r="V416" s="160" t="e">
        <f t="shared" si="256"/>
        <v>#DIV/0!</v>
      </c>
      <c r="W416" s="98" t="str">
        <f t="shared" si="247"/>
        <v>1-4.7815650723863i</v>
      </c>
      <c r="X416" s="160">
        <f t="shared" si="257"/>
        <v>4.8850142826264698</v>
      </c>
      <c r="Y416" s="160">
        <f t="shared" si="258"/>
        <v>-1.3646312607803019</v>
      </c>
      <c r="Z416" s="98" t="str">
        <f t="shared" si="248"/>
        <v>0.811568008397539+0.567799030228493i</v>
      </c>
      <c r="AA416" s="160">
        <f t="shared" si="259"/>
        <v>0.99047381135634516</v>
      </c>
      <c r="AB416" s="160">
        <f t="shared" si="260"/>
        <v>0.6104790091414527</v>
      </c>
      <c r="AC416" s="171" t="e">
        <f t="shared" si="261"/>
        <v>#DIV/0!</v>
      </c>
      <c r="AD416" s="190" t="e">
        <f t="shared" si="262"/>
        <v>#DIV/0!</v>
      </c>
      <c r="AE416" s="169" t="e">
        <f t="shared" si="263"/>
        <v>#DIV/0!</v>
      </c>
      <c r="AF416" s="98" t="str">
        <f t="shared" si="249"/>
        <v>-0.0000182926829268293</v>
      </c>
      <c r="AG416" s="98" t="str">
        <f t="shared" si="250"/>
        <v>0.0133328785453708i</v>
      </c>
      <c r="AH416" s="98">
        <f t="shared" si="264"/>
        <v>1.33328785453708E-2</v>
      </c>
      <c r="AI416" s="98">
        <f t="shared" si="265"/>
        <v>1.5707963267948966</v>
      </c>
      <c r="AJ416" s="98" t="str">
        <f t="shared" si="251"/>
        <v>1+1.30701681652493i</v>
      </c>
      <c r="AK416" s="98">
        <f t="shared" si="266"/>
        <v>1.6456892047646672</v>
      </c>
      <c r="AL416" s="98">
        <f t="shared" si="267"/>
        <v>0.91770036113851472</v>
      </c>
      <c r="AM416" s="98" t="str">
        <f t="shared" si="252"/>
        <v>1+132.008698469017i</v>
      </c>
      <c r="AN416" s="98">
        <f t="shared" si="268"/>
        <v>132.01248604387334</v>
      </c>
      <c r="AO416" s="98">
        <f t="shared" si="269"/>
        <v>1.5632212133055883</v>
      </c>
      <c r="AP416" s="168" t="str">
        <f t="shared" si="270"/>
        <v>-0.066212352503294+0.0879126562006079i</v>
      </c>
      <c r="AQ416" s="98">
        <f t="shared" si="271"/>
        <v>-19.167586537574067</v>
      </c>
      <c r="AR416" s="169">
        <f t="shared" si="272"/>
        <v>126.98562041686158</v>
      </c>
      <c r="AS416" s="168" t="e">
        <f t="shared" si="273"/>
        <v>#DIV/0!</v>
      </c>
      <c r="AT416" s="190" t="e">
        <f t="shared" si="274"/>
        <v>#DIV/0!</v>
      </c>
      <c r="AU416" s="169" t="e">
        <f t="shared" si="275"/>
        <v>#DIV/0!</v>
      </c>
      <c r="AV416" s="225"/>
      <c r="AX416" t="e">
        <f t="shared" si="276"/>
        <v>#DIV/0!</v>
      </c>
      <c r="AY416" t="e">
        <f t="shared" si="277"/>
        <v>#DIV/0!</v>
      </c>
    </row>
    <row r="417" spans="14:51" x14ac:dyDescent="0.25">
      <c r="N417" s="170">
        <v>99</v>
      </c>
      <c r="O417" s="199">
        <f t="shared" si="243"/>
        <v>97723.722095581266</v>
      </c>
      <c r="P417" s="189" t="str">
        <f t="shared" si="244"/>
        <v>290</v>
      </c>
      <c r="Q417" s="160" t="e">
        <f t="shared" si="245"/>
        <v>#DIV/0!</v>
      </c>
      <c r="R417" s="160" t="e">
        <f t="shared" si="253"/>
        <v>#DIV/0!</v>
      </c>
      <c r="S417" s="160" t="e">
        <f t="shared" si="254"/>
        <v>#DIV/0!</v>
      </c>
      <c r="T417" s="160" t="e">
        <f t="shared" si="246"/>
        <v>#DIV/0!</v>
      </c>
      <c r="U417" s="160" t="e">
        <f t="shared" si="255"/>
        <v>#DIV/0!</v>
      </c>
      <c r="V417" s="160" t="e">
        <f t="shared" si="256"/>
        <v>#DIV/0!</v>
      </c>
      <c r="W417" s="98" t="str">
        <f t="shared" si="247"/>
        <v>1-4.89294203070731i</v>
      </c>
      <c r="X417" s="160">
        <f t="shared" si="257"/>
        <v>4.9940846724762453</v>
      </c>
      <c r="Y417" s="160">
        <f t="shared" si="258"/>
        <v>-1.3691966217612532</v>
      </c>
      <c r="Z417" s="98" t="str">
        <f t="shared" si="248"/>
        <v>0.802687482226975+0.581024768656625i</v>
      </c>
      <c r="AA417" s="160">
        <f t="shared" si="259"/>
        <v>0.99090714797924673</v>
      </c>
      <c r="AB417" s="160">
        <f t="shared" si="260"/>
        <v>0.62655352865046621</v>
      </c>
      <c r="AC417" s="171" t="e">
        <f t="shared" si="261"/>
        <v>#DIV/0!</v>
      </c>
      <c r="AD417" s="190" t="e">
        <f t="shared" si="262"/>
        <v>#DIV/0!</v>
      </c>
      <c r="AE417" s="169" t="e">
        <f t="shared" si="263"/>
        <v>#DIV/0!</v>
      </c>
      <c r="AF417" s="98" t="str">
        <f t="shared" si="249"/>
        <v>-0.0000182926829268293</v>
      </c>
      <c r="AG417" s="98" t="str">
        <f t="shared" si="250"/>
        <v>0.0136434411824083i</v>
      </c>
      <c r="AH417" s="98">
        <f t="shared" si="264"/>
        <v>1.3643441182408299E-2</v>
      </c>
      <c r="AI417" s="98">
        <f t="shared" si="265"/>
        <v>1.5707963267948966</v>
      </c>
      <c r="AJ417" s="98" t="str">
        <f t="shared" si="251"/>
        <v>1+1.33746114914306i</v>
      </c>
      <c r="AK417" s="98">
        <f t="shared" si="266"/>
        <v>1.6699707558718131</v>
      </c>
      <c r="AL417" s="98">
        <f t="shared" si="267"/>
        <v>0.92877829211236806</v>
      </c>
      <c r="AM417" s="98" t="str">
        <f t="shared" si="252"/>
        <v>1+135.083576063448i</v>
      </c>
      <c r="AN417" s="98">
        <f t="shared" si="268"/>
        <v>135.08727742496455</v>
      </c>
      <c r="AO417" s="98">
        <f t="shared" si="269"/>
        <v>1.563393637567444</v>
      </c>
      <c r="AP417" s="168" t="str">
        <f t="shared" si="270"/>
        <v>-0.0643008815736724+0.0873406984898489i</v>
      </c>
      <c r="AQ417" s="98">
        <f t="shared" si="271"/>
        <v>-19.294818666561547</v>
      </c>
      <c r="AR417" s="169">
        <f t="shared" si="272"/>
        <v>126.36078090881252</v>
      </c>
      <c r="AS417" s="168" t="e">
        <f t="shared" si="273"/>
        <v>#DIV/0!</v>
      </c>
      <c r="AT417" s="190" t="e">
        <f t="shared" si="274"/>
        <v>#DIV/0!</v>
      </c>
      <c r="AU417" s="169" t="e">
        <f t="shared" si="275"/>
        <v>#DIV/0!</v>
      </c>
      <c r="AV417" s="225"/>
      <c r="AX417" t="e">
        <f t="shared" si="276"/>
        <v>#DIV/0!</v>
      </c>
      <c r="AY417" t="e">
        <f t="shared" si="277"/>
        <v>#DIV/0!</v>
      </c>
    </row>
    <row r="418" spans="14:51" x14ac:dyDescent="0.25">
      <c r="N418" s="170">
        <v>100</v>
      </c>
      <c r="O418" s="199">
        <f t="shared" si="243"/>
        <v>100000</v>
      </c>
      <c r="P418" s="189" t="str">
        <f t="shared" si="244"/>
        <v>290</v>
      </c>
      <c r="Q418" s="160" t="e">
        <f t="shared" si="245"/>
        <v>#DIV/0!</v>
      </c>
      <c r="R418" s="160" t="e">
        <f t="shared" si="253"/>
        <v>#DIV/0!</v>
      </c>
      <c r="S418" s="160" t="e">
        <f t="shared" si="254"/>
        <v>#DIV/0!</v>
      </c>
      <c r="T418" s="160" t="e">
        <f t="shared" si="246"/>
        <v>#DIV/0!</v>
      </c>
      <c r="U418" s="160" t="e">
        <f t="shared" si="255"/>
        <v>#DIV/0!</v>
      </c>
      <c r="V418" s="160" t="e">
        <f t="shared" si="256"/>
        <v>#DIV/0!</v>
      </c>
      <c r="W418" s="98" t="str">
        <f t="shared" si="247"/>
        <v>1-5.00691329165875i</v>
      </c>
      <c r="X418" s="160">
        <f t="shared" si="257"/>
        <v>5.1057987338112998</v>
      </c>
      <c r="Y418" s="160">
        <f t="shared" si="258"/>
        <v>-1.373666309738184</v>
      </c>
      <c r="Z418" s="98" t="str">
        <f t="shared" si="248"/>
        <v>0.793388429752066+0.59455857410787i</v>
      </c>
      <c r="AA418" s="160">
        <f t="shared" si="259"/>
        <v>0.99144596348446179</v>
      </c>
      <c r="AB418" s="160">
        <f t="shared" si="260"/>
        <v>0.64311157815930731</v>
      </c>
      <c r="AC418" s="171" t="e">
        <f t="shared" si="261"/>
        <v>#DIV/0!</v>
      </c>
      <c r="AD418" s="190" t="e">
        <f t="shared" si="262"/>
        <v>#DIV/0!</v>
      </c>
      <c r="AE418" s="169" t="e">
        <f t="shared" si="263"/>
        <v>#DIV/0!</v>
      </c>
      <c r="AF418" s="98" t="str">
        <f t="shared" si="249"/>
        <v>-0.0000182926829268293</v>
      </c>
      <c r="AG418" s="98" t="str">
        <f t="shared" si="250"/>
        <v>0.013961237752553i</v>
      </c>
      <c r="AH418" s="98">
        <f t="shared" si="264"/>
        <v>1.3961237752553E-2</v>
      </c>
      <c r="AI418" s="98">
        <f t="shared" si="265"/>
        <v>1.5707963267948966</v>
      </c>
      <c r="AJ418" s="98" t="str">
        <f t="shared" si="251"/>
        <v>1+1.36861462136585i</v>
      </c>
      <c r="AK418" s="98">
        <f t="shared" si="266"/>
        <v>1.6950238882730795</v>
      </c>
      <c r="AL418" s="98">
        <f t="shared" si="267"/>
        <v>0.93978431817602748</v>
      </c>
      <c r="AM418" s="98" t="str">
        <f t="shared" si="252"/>
        <v>1+138.230076757951i</v>
      </c>
      <c r="AN418" s="98">
        <f t="shared" si="268"/>
        <v>138.2336938684235</v>
      </c>
      <c r="AO418" s="98">
        <f t="shared" si="269"/>
        <v>1.5635621373992601</v>
      </c>
      <c r="AP418" s="168" t="str">
        <f t="shared" si="270"/>
        <v>-0.0624141431597573+0.0867311568428563i</v>
      </c>
      <c r="AQ418" s="98">
        <f t="shared" si="271"/>
        <v>-19.424168522176707</v>
      </c>
      <c r="AR418" s="169">
        <f t="shared" si="272"/>
        <v>125.73983639536573</v>
      </c>
      <c r="AS418" s="168" t="e">
        <f t="shared" si="273"/>
        <v>#DIV/0!</v>
      </c>
      <c r="AT418" s="190" t="e">
        <f t="shared" si="274"/>
        <v>#DIV/0!</v>
      </c>
      <c r="AU418" s="169" t="e">
        <f t="shared" si="275"/>
        <v>#DIV/0!</v>
      </c>
      <c r="AV418" s="225"/>
      <c r="AX418" t="e">
        <f t="shared" si="276"/>
        <v>#DIV/0!</v>
      </c>
      <c r="AY418" t="e">
        <f t="shared" si="277"/>
        <v>#DIV/0!</v>
      </c>
    </row>
    <row r="419" spans="14:51" x14ac:dyDescent="0.25">
      <c r="N419" s="170">
        <v>1</v>
      </c>
      <c r="O419" s="199">
        <f>10^(5+(N419/100))</f>
        <v>102329.29922807543</v>
      </c>
      <c r="P419" s="189" t="str">
        <f t="shared" si="244"/>
        <v>290</v>
      </c>
      <c r="Q419" s="160" t="e">
        <f t="shared" si="245"/>
        <v>#DIV/0!</v>
      </c>
      <c r="R419" s="160" t="e">
        <f t="shared" si="253"/>
        <v>#DIV/0!</v>
      </c>
      <c r="S419" s="160" t="e">
        <f t="shared" si="254"/>
        <v>#DIV/0!</v>
      </c>
      <c r="T419" s="160" t="e">
        <f t="shared" si="246"/>
        <v>#DIV/0!</v>
      </c>
      <c r="U419" s="160" t="e">
        <f t="shared" si="255"/>
        <v>#DIV/0!</v>
      </c>
      <c r="V419" s="160" t="e">
        <f t="shared" si="256"/>
        <v>#DIV/0!</v>
      </c>
      <c r="W419" s="98" t="str">
        <f t="shared" si="247"/>
        <v>1-5.12353928431176i</v>
      </c>
      <c r="X419" s="160">
        <f t="shared" si="257"/>
        <v>5.220215972341169</v>
      </c>
      <c r="Y419" s="160">
        <f t="shared" si="258"/>
        <v>-1.3780419798924688</v>
      </c>
      <c r="Z419" s="98" t="str">
        <f t="shared" si="248"/>
        <v>0.783651126435764+0.60840762238502i</v>
      </c>
      <c r="AA419" s="160">
        <f t="shared" si="259"/>
        <v>0.99210328239565604</v>
      </c>
      <c r="AB419" s="160">
        <f t="shared" si="260"/>
        <v>0.66016891747662554</v>
      </c>
      <c r="AC419" s="171" t="e">
        <f t="shared" si="261"/>
        <v>#DIV/0!</v>
      </c>
      <c r="AD419" s="190" t="e">
        <f t="shared" si="262"/>
        <v>#DIV/0!</v>
      </c>
      <c r="AE419" s="169" t="e">
        <f t="shared" si="263"/>
        <v>#DIV/0!</v>
      </c>
      <c r="AF419" s="98" t="str">
        <f t="shared" si="249"/>
        <v>-0.0000182926829268293</v>
      </c>
      <c r="AG419" s="98" t="str">
        <f t="shared" si="250"/>
        <v>0.014286436755753i</v>
      </c>
      <c r="AH419" s="98">
        <f t="shared" si="264"/>
        <v>1.4286436755753E-2</v>
      </c>
      <c r="AI419" s="98">
        <f t="shared" si="265"/>
        <v>1.5707963267948966</v>
      </c>
      <c r="AJ419" s="98" t="str">
        <f t="shared" si="251"/>
        <v>1+1.40049375117665i</v>
      </c>
      <c r="AK419" s="98">
        <f t="shared" si="266"/>
        <v>1.7208668591976672</v>
      </c>
      <c r="AL419" s="98">
        <f t="shared" si="267"/>
        <v>0.95071360969478047</v>
      </c>
      <c r="AM419" s="98" t="str">
        <f t="shared" si="252"/>
        <v>1+141.449868868842i</v>
      </c>
      <c r="AN419" s="98">
        <f t="shared" si="268"/>
        <v>141.45340364590948</v>
      </c>
      <c r="AO419" s="98">
        <f t="shared" si="269"/>
        <v>1.5637268021035828</v>
      </c>
      <c r="AP419" s="168" t="str">
        <f t="shared" si="270"/>
        <v>-0.0605536208511938+0.0860853906633847i</v>
      </c>
      <c r="AQ419" s="98">
        <f t="shared" si="271"/>
        <v>-19.555607706654492</v>
      </c>
      <c r="AR419" s="169">
        <f t="shared" si="272"/>
        <v>125.12306871086544</v>
      </c>
      <c r="AS419" s="168" t="e">
        <f t="shared" si="273"/>
        <v>#DIV/0!</v>
      </c>
      <c r="AT419" s="190" t="e">
        <f t="shared" si="274"/>
        <v>#DIV/0!</v>
      </c>
      <c r="AU419" s="169" t="e">
        <f t="shared" si="275"/>
        <v>#DIV/0!</v>
      </c>
      <c r="AV419" s="225"/>
      <c r="AX419" t="e">
        <f t="shared" si="276"/>
        <v>#DIV/0!</v>
      </c>
      <c r="AY419" t="e">
        <f t="shared" si="277"/>
        <v>#DIV/0!</v>
      </c>
    </row>
    <row r="420" spans="14:51" x14ac:dyDescent="0.25">
      <c r="N420" s="170">
        <v>2</v>
      </c>
      <c r="O420" s="199">
        <f t="shared" ref="O420:O483" si="278">10^(5+(N420/100))</f>
        <v>104712.85480508996</v>
      </c>
      <c r="P420" s="189" t="str">
        <f t="shared" si="244"/>
        <v>290</v>
      </c>
      <c r="Q420" s="160" t="e">
        <f t="shared" si="245"/>
        <v>#DIV/0!</v>
      </c>
      <c r="R420" s="160" t="e">
        <f t="shared" si="253"/>
        <v>#DIV/0!</v>
      </c>
      <c r="S420" s="160" t="e">
        <f t="shared" si="254"/>
        <v>#DIV/0!</v>
      </c>
      <c r="T420" s="160" t="e">
        <f t="shared" si="246"/>
        <v>#DIV/0!</v>
      </c>
      <c r="U420" s="160" t="e">
        <f t="shared" si="255"/>
        <v>#DIV/0!</v>
      </c>
      <c r="V420" s="160" t="e">
        <f t="shared" si="256"/>
        <v>#DIV/0!</v>
      </c>
      <c r="W420" s="98" t="str">
        <f t="shared" si="247"/>
        <v>1-5.24288184531138i</v>
      </c>
      <c r="X420" s="160">
        <f t="shared" si="257"/>
        <v>5.3373973099157288</v>
      </c>
      <c r="Y420" s="160">
        <f t="shared" si="258"/>
        <v>-1.3823252817117355</v>
      </c>
      <c r="Z420" s="98" t="str">
        <f t="shared" si="248"/>
        <v>0.773454918152234+0.622579256436787i</v>
      </c>
      <c r="AA420" s="160">
        <f t="shared" si="259"/>
        <v>0.99289346908883513</v>
      </c>
      <c r="AB420" s="160">
        <f t="shared" si="260"/>
        <v>0.67774153639083601</v>
      </c>
      <c r="AC420" s="171" t="e">
        <f t="shared" si="261"/>
        <v>#DIV/0!</v>
      </c>
      <c r="AD420" s="190" t="e">
        <f t="shared" si="262"/>
        <v>#DIV/0!</v>
      </c>
      <c r="AE420" s="169" t="e">
        <f t="shared" si="263"/>
        <v>#DIV/0!</v>
      </c>
      <c r="AF420" s="98" t="str">
        <f t="shared" si="249"/>
        <v>-0.0000182926829268293</v>
      </c>
      <c r="AG420" s="98" t="str">
        <f t="shared" si="250"/>
        <v>0.0146192106168243i</v>
      </c>
      <c r="AH420" s="98">
        <f t="shared" si="264"/>
        <v>1.4619210616824301E-2</v>
      </c>
      <c r="AI420" s="98">
        <f t="shared" si="265"/>
        <v>1.5707963267948966</v>
      </c>
      <c r="AJ420" s="98" t="str">
        <f t="shared" si="251"/>
        <v>1+1.43311544131206i</v>
      </c>
      <c r="AK420" s="98">
        <f t="shared" si="266"/>
        <v>1.7475182025166607</v>
      </c>
      <c r="AL420" s="98">
        <f t="shared" si="267"/>
        <v>0.96156151778306809</v>
      </c>
      <c r="AM420" s="98" t="str">
        <f t="shared" si="252"/>
        <v>1+144.744659572517i</v>
      </c>
      <c r="AN420" s="98">
        <f t="shared" si="268"/>
        <v>144.74811389017765</v>
      </c>
      <c r="AO420" s="98">
        <f t="shared" si="269"/>
        <v>1.5638877189520795</v>
      </c>
      <c r="AP420" s="168" t="str">
        <f t="shared" si="270"/>
        <v>-0.0587207025318822+0.0854048225863262i</v>
      </c>
      <c r="AQ420" s="98">
        <f t="shared" si="271"/>
        <v>-19.689106219625824</v>
      </c>
      <c r="AR420" s="169">
        <f t="shared" si="272"/>
        <v>124.51074921713214</v>
      </c>
      <c r="AS420" s="168" t="e">
        <f t="shared" si="273"/>
        <v>#DIV/0!</v>
      </c>
      <c r="AT420" s="190" t="e">
        <f t="shared" si="274"/>
        <v>#DIV/0!</v>
      </c>
      <c r="AU420" s="169" t="e">
        <f t="shared" si="275"/>
        <v>#DIV/0!</v>
      </c>
      <c r="AV420" s="225"/>
      <c r="AX420" t="e">
        <f t="shared" si="276"/>
        <v>#DIV/0!</v>
      </c>
      <c r="AY420" t="e">
        <f t="shared" si="277"/>
        <v>#DIV/0!</v>
      </c>
    </row>
    <row r="421" spans="14:51" x14ac:dyDescent="0.25">
      <c r="N421" s="170">
        <v>3</v>
      </c>
      <c r="O421" s="199">
        <f t="shared" si="278"/>
        <v>107151.93052376082</v>
      </c>
      <c r="P421" s="189" t="str">
        <f t="shared" si="244"/>
        <v>290</v>
      </c>
      <c r="Q421" s="160" t="e">
        <f t="shared" si="245"/>
        <v>#DIV/0!</v>
      </c>
      <c r="R421" s="160" t="e">
        <f t="shared" si="253"/>
        <v>#DIV/0!</v>
      </c>
      <c r="S421" s="160" t="e">
        <f t="shared" si="254"/>
        <v>#DIV/0!</v>
      </c>
      <c r="T421" s="160" t="e">
        <f t="shared" si="246"/>
        <v>#DIV/0!</v>
      </c>
      <c r="U421" s="160" t="e">
        <f t="shared" si="255"/>
        <v>#DIV/0!</v>
      </c>
      <c r="V421" s="160" t="e">
        <f t="shared" si="256"/>
        <v>#DIV/0!</v>
      </c>
      <c r="W421" s="98" t="str">
        <f t="shared" si="247"/>
        <v>1-5.36500425166313i</v>
      </c>
      <c r="X421" s="160">
        <f t="shared" si="257"/>
        <v>5.4574051178525735</v>
      </c>
      <c r="Y421" s="160">
        <f t="shared" si="258"/>
        <v>-1.3865178572810954</v>
      </c>
      <c r="Z421" s="98" t="str">
        <f t="shared" si="248"/>
        <v>0.762778177376676+0.637080990251127i</v>
      </c>
      <c r="AA421" s="160">
        <f t="shared" si="259"/>
        <v>0.99383234804540355</v>
      </c>
      <c r="AB421" s="160">
        <f t="shared" si="260"/>
        <v>0.69584558992410095</v>
      </c>
      <c r="AC421" s="171" t="e">
        <f t="shared" si="261"/>
        <v>#DIV/0!</v>
      </c>
      <c r="AD421" s="190" t="e">
        <f t="shared" si="262"/>
        <v>#DIV/0!</v>
      </c>
      <c r="AE421" s="169" t="e">
        <f t="shared" si="263"/>
        <v>#DIV/0!</v>
      </c>
      <c r="AF421" s="98" t="str">
        <f t="shared" si="249"/>
        <v>-0.0000182926829268293</v>
      </c>
      <c r="AG421" s="98" t="str">
        <f t="shared" si="250"/>
        <v>0.0149597357768727i</v>
      </c>
      <c r="AH421" s="98">
        <f t="shared" si="264"/>
        <v>1.49597357768727E-2</v>
      </c>
      <c r="AI421" s="98">
        <f t="shared" si="265"/>
        <v>1.5707963267948966</v>
      </c>
      <c r="AJ421" s="98" t="str">
        <f t="shared" si="251"/>
        <v>1+1.46649698822397i</v>
      </c>
      <c r="AK421" s="98">
        <f t="shared" si="266"/>
        <v>1.7749967370307964</v>
      </c>
      <c r="AL421" s="98">
        <f t="shared" si="267"/>
        <v>0.97232358188487733</v>
      </c>
      <c r="AM421" s="98" t="str">
        <f t="shared" si="252"/>
        <v>1+148.116195810621i</v>
      </c>
      <c r="AN421" s="98">
        <f t="shared" si="268"/>
        <v>148.11957150022488</v>
      </c>
      <c r="AO421" s="98">
        <f t="shared" si="269"/>
        <v>1.564044973231639</v>
      </c>
      <c r="AP421" s="168" t="str">
        <f t="shared" si="270"/>
        <v>-0.0569166775983451+0.084690930797569i</v>
      </c>
      <c r="AQ421" s="98">
        <f t="shared" si="271"/>
        <v>-19.824632566521057</v>
      </c>
      <c r="AR421" s="169">
        <f t="shared" si="272"/>
        <v>123.90313837177831</v>
      </c>
      <c r="AS421" s="168" t="e">
        <f t="shared" si="273"/>
        <v>#DIV/0!</v>
      </c>
      <c r="AT421" s="190" t="e">
        <f t="shared" si="274"/>
        <v>#DIV/0!</v>
      </c>
      <c r="AU421" s="169" t="e">
        <f t="shared" si="275"/>
        <v>#DIV/0!</v>
      </c>
      <c r="AV421" s="225"/>
      <c r="AX421" t="e">
        <f t="shared" si="276"/>
        <v>#DIV/0!</v>
      </c>
      <c r="AY421" t="e">
        <f t="shared" si="277"/>
        <v>#DIV/0!</v>
      </c>
    </row>
    <row r="422" spans="14:51" x14ac:dyDescent="0.25">
      <c r="N422" s="170">
        <v>4</v>
      </c>
      <c r="O422" s="199">
        <f t="shared" si="278"/>
        <v>109647.81961431868</v>
      </c>
      <c r="P422" s="189" t="str">
        <f t="shared" si="244"/>
        <v>290</v>
      </c>
      <c r="Q422" s="160" t="e">
        <f t="shared" si="245"/>
        <v>#DIV/0!</v>
      </c>
      <c r="R422" s="160" t="e">
        <f t="shared" si="253"/>
        <v>#DIV/0!</v>
      </c>
      <c r="S422" s="160" t="e">
        <f t="shared" si="254"/>
        <v>#DIV/0!</v>
      </c>
      <c r="T422" s="160" t="e">
        <f t="shared" si="246"/>
        <v>#DIV/0!</v>
      </c>
      <c r="U422" s="160" t="e">
        <f t="shared" si="255"/>
        <v>#DIV/0!</v>
      </c>
      <c r="V422" s="160" t="e">
        <f t="shared" si="256"/>
        <v>#DIV/0!</v>
      </c>
      <c r="W422" s="98" t="str">
        <f t="shared" si="247"/>
        <v>1-5.48997125428333i</v>
      </c>
      <c r="X422" s="160">
        <f t="shared" si="257"/>
        <v>5.580303250976355</v>
      </c>
      <c r="Y422" s="160">
        <f t="shared" si="258"/>
        <v>-1.3906213397064167</v>
      </c>
      <c r="Z422" s="98" t="str">
        <f t="shared" si="248"/>
        <v>0.751598257310451+0.651920512839262i</v>
      </c>
      <c r="AA422" s="160">
        <f t="shared" si="259"/>
        <v>0.99493733242486837</v>
      </c>
      <c r="AB422" s="160">
        <f t="shared" si="260"/>
        <v>0.71449732027875734</v>
      </c>
      <c r="AC422" s="171" t="e">
        <f t="shared" si="261"/>
        <v>#DIV/0!</v>
      </c>
      <c r="AD422" s="190" t="e">
        <f t="shared" si="262"/>
        <v>#DIV/0!</v>
      </c>
      <c r="AE422" s="169" t="e">
        <f t="shared" si="263"/>
        <v>#DIV/0!</v>
      </c>
      <c r="AF422" s="98" t="str">
        <f t="shared" si="249"/>
        <v>-0.0000182926829268293</v>
      </c>
      <c r="AG422" s="98" t="str">
        <f t="shared" si="250"/>
        <v>0.0153081927868455i</v>
      </c>
      <c r="AH422" s="98">
        <f t="shared" si="264"/>
        <v>1.53081927868455E-2</v>
      </c>
      <c r="AI422" s="98">
        <f t="shared" si="265"/>
        <v>1.5707963267948966</v>
      </c>
      <c r="AJ422" s="98" t="str">
        <f t="shared" si="251"/>
        <v>1+1.50065609125042i</v>
      </c>
      <c r="AK422" s="98">
        <f t="shared" si="266"/>
        <v>1.8033215753733411</v>
      </c>
      <c r="AL422" s="98">
        <f t="shared" si="267"/>
        <v>0.98299553636418524</v>
      </c>
      <c r="AM422" s="98" t="str">
        <f t="shared" si="252"/>
        <v>1+151.566265216292i</v>
      </c>
      <c r="AN422" s="98">
        <f t="shared" si="268"/>
        <v>151.56956406751115</v>
      </c>
      <c r="AO422" s="98">
        <f t="shared" si="269"/>
        <v>1.5641986482894348</v>
      </c>
      <c r="AP422" s="168" t="str">
        <f t="shared" si="270"/>
        <v>-0.0551427348701904+0.0839452412895666i</v>
      </c>
      <c r="AQ422" s="98">
        <f t="shared" si="271"/>
        <v>-19.962153869687654</v>
      </c>
      <c r="AR422" s="169">
        <f t="shared" si="272"/>
        <v>123.30048535318645</v>
      </c>
      <c r="AS422" s="168" t="e">
        <f t="shared" si="273"/>
        <v>#DIV/0!</v>
      </c>
      <c r="AT422" s="190" t="e">
        <f t="shared" si="274"/>
        <v>#DIV/0!</v>
      </c>
      <c r="AU422" s="169" t="e">
        <f t="shared" si="275"/>
        <v>#DIV/0!</v>
      </c>
      <c r="AV422" s="225"/>
      <c r="AX422" t="e">
        <f t="shared" si="276"/>
        <v>#DIV/0!</v>
      </c>
      <c r="AY422" t="e">
        <f t="shared" si="277"/>
        <v>#DIV/0!</v>
      </c>
    </row>
    <row r="423" spans="14:51" x14ac:dyDescent="0.25">
      <c r="N423" s="170">
        <v>5</v>
      </c>
      <c r="O423" s="199">
        <f t="shared" si="278"/>
        <v>112201.84543019651</v>
      </c>
      <c r="P423" s="189" t="str">
        <f t="shared" si="244"/>
        <v>290</v>
      </c>
      <c r="Q423" s="160" t="e">
        <f t="shared" si="245"/>
        <v>#DIV/0!</v>
      </c>
      <c r="R423" s="160" t="e">
        <f t="shared" si="253"/>
        <v>#DIV/0!</v>
      </c>
      <c r="S423" s="160" t="e">
        <f t="shared" si="254"/>
        <v>#DIV/0!</v>
      </c>
      <c r="T423" s="160" t="e">
        <f t="shared" si="246"/>
        <v>#DIV/0!</v>
      </c>
      <c r="U423" s="160" t="e">
        <f t="shared" si="255"/>
        <v>#DIV/0!</v>
      </c>
      <c r="V423" s="160" t="e">
        <f t="shared" si="256"/>
        <v>#DIV/0!</v>
      </c>
      <c r="W423" s="98" t="str">
        <f t="shared" si="247"/>
        <v>1-5.61784911233091i</v>
      </c>
      <c r="X423" s="160">
        <f t="shared" si="257"/>
        <v>5.7061570823906695</v>
      </c>
      <c r="Y423" s="160">
        <f t="shared" si="258"/>
        <v>-1.3946373516632633</v>
      </c>
      <c r="Z423" s="98" t="str">
        <f t="shared" si="248"/>
        <v>0.739891443844179+0.667105692312492i</v>
      </c>
      <c r="AA423" s="160">
        <f t="shared" si="259"/>
        <v>0.99622756104694932</v>
      </c>
      <c r="AB423" s="160">
        <f t="shared" si="260"/>
        <v>0.7337129638997687</v>
      </c>
      <c r="AC423" s="171" t="e">
        <f t="shared" si="261"/>
        <v>#DIV/0!</v>
      </c>
      <c r="AD423" s="190" t="e">
        <f t="shared" si="262"/>
        <v>#DIV/0!</v>
      </c>
      <c r="AE423" s="169" t="e">
        <f t="shared" si="263"/>
        <v>#DIV/0!</v>
      </c>
      <c r="AF423" s="98" t="str">
        <f t="shared" si="249"/>
        <v>-0.0000182926829268293</v>
      </c>
      <c r="AG423" s="98" t="str">
        <f t="shared" si="250"/>
        <v>0.0156647664032618i</v>
      </c>
      <c r="AH423" s="98">
        <f t="shared" si="264"/>
        <v>1.5664766403261799E-2</v>
      </c>
      <c r="AI423" s="98">
        <f t="shared" si="265"/>
        <v>1.5707963267948966</v>
      </c>
      <c r="AJ423" s="98" t="str">
        <f t="shared" si="251"/>
        <v>1+1.53561086199998i</v>
      </c>
      <c r="AK423" s="98">
        <f t="shared" si="266"/>
        <v>1.8325121335184449</v>
      </c>
      <c r="AL423" s="98">
        <f t="shared" si="267"/>
        <v>0.99357331610150545</v>
      </c>
      <c r="AM423" s="98" t="str">
        <f t="shared" si="252"/>
        <v>1+155.096697061998i</v>
      </c>
      <c r="AN423" s="98">
        <f t="shared" si="268"/>
        <v>155.09992082377468</v>
      </c>
      <c r="AO423" s="98">
        <f t="shared" si="269"/>
        <v>1.5643488255769658</v>
      </c>
      <c r="AP423" s="168" t="str">
        <f t="shared" si="270"/>
        <v>-0.0533999611808403+0.0831693201203897i</v>
      </c>
      <c r="AQ423" s="98">
        <f t="shared" si="271"/>
        <v>-20.101635981454031</v>
      </c>
      <c r="AR423" s="169">
        <f t="shared" si="272"/>
        <v>122.70302774237321</v>
      </c>
      <c r="AS423" s="168" t="e">
        <f t="shared" si="273"/>
        <v>#DIV/0!</v>
      </c>
      <c r="AT423" s="190" t="e">
        <f t="shared" si="274"/>
        <v>#DIV/0!</v>
      </c>
      <c r="AU423" s="169" t="e">
        <f t="shared" si="275"/>
        <v>#DIV/0!</v>
      </c>
      <c r="AV423" s="225"/>
      <c r="AX423" t="e">
        <f t="shared" si="276"/>
        <v>#DIV/0!</v>
      </c>
      <c r="AY423" t="e">
        <f t="shared" si="277"/>
        <v>#DIV/0!</v>
      </c>
    </row>
    <row r="424" spans="14:51" x14ac:dyDescent="0.25">
      <c r="N424" s="170">
        <v>6</v>
      </c>
      <c r="O424" s="199">
        <f t="shared" si="278"/>
        <v>114815.36214968823</v>
      </c>
      <c r="P424" s="189" t="str">
        <f t="shared" si="244"/>
        <v>290</v>
      </c>
      <c r="Q424" s="160" t="e">
        <f t="shared" si="245"/>
        <v>#DIV/0!</v>
      </c>
      <c r="R424" s="160" t="e">
        <f t="shared" si="253"/>
        <v>#DIV/0!</v>
      </c>
      <c r="S424" s="160" t="e">
        <f t="shared" si="254"/>
        <v>#DIV/0!</v>
      </c>
      <c r="T424" s="160" t="e">
        <f t="shared" si="246"/>
        <v>#DIV/0!</v>
      </c>
      <c r="U424" s="160" t="e">
        <f t="shared" si="255"/>
        <v>#DIV/0!</v>
      </c>
      <c r="V424" s="160" t="e">
        <f t="shared" si="256"/>
        <v>#DIV/0!</v>
      </c>
      <c r="W424" s="98" t="str">
        <f t="shared" si="247"/>
        <v>1-5.74870562833886i</v>
      </c>
      <c r="X424" s="160">
        <f t="shared" si="257"/>
        <v>5.8350335390034296</v>
      </c>
      <c r="Y424" s="160">
        <f t="shared" si="258"/>
        <v>-1.3985675040652257</v>
      </c>
      <c r="Z424" s="98" t="str">
        <f t="shared" si="248"/>
        <v>0.727632905256941+0.682644580053972i</v>
      </c>
      <c r="AA424" s="160">
        <f t="shared" si="259"/>
        <v>0.99772404375644885</v>
      </c>
      <c r="AB424" s="160">
        <f t="shared" si="260"/>
        <v>0.75350864202925838</v>
      </c>
      <c r="AC424" s="171" t="e">
        <f t="shared" si="261"/>
        <v>#DIV/0!</v>
      </c>
      <c r="AD424" s="190" t="e">
        <f t="shared" si="262"/>
        <v>#DIV/0!</v>
      </c>
      <c r="AE424" s="169" t="e">
        <f t="shared" si="263"/>
        <v>#DIV/0!</v>
      </c>
      <c r="AF424" s="98" t="str">
        <f t="shared" si="249"/>
        <v>-0.0000182926829268293</v>
      </c>
      <c r="AG424" s="98" t="str">
        <f t="shared" si="250"/>
        <v>0.0160296456861728i</v>
      </c>
      <c r="AH424" s="98">
        <f t="shared" si="264"/>
        <v>1.6029645686172801E-2</v>
      </c>
      <c r="AI424" s="98">
        <f t="shared" si="265"/>
        <v>1.5707963267948966</v>
      </c>
      <c r="AJ424" s="98" t="str">
        <f t="shared" si="251"/>
        <v>1+1.57137983395479i</v>
      </c>
      <c r="AK424" s="98">
        <f t="shared" si="266"/>
        <v>1.8625881408834815</v>
      </c>
      <c r="AL424" s="98">
        <f t="shared" si="267"/>
        <v>1.0040530611011849</v>
      </c>
      <c r="AM424" s="98" t="str">
        <f t="shared" si="252"/>
        <v>1+158.709363229433i</v>
      </c>
      <c r="AN424" s="98">
        <f t="shared" si="268"/>
        <v>158.71251361090623</v>
      </c>
      <c r="AO424" s="98">
        <f t="shared" si="269"/>
        <v>1.5644955846931066</v>
      </c>
      <c r="AP424" s="168" t="str">
        <f t="shared" si="270"/>
        <v>-0.0516893406296924+0.0823647657405887i</v>
      </c>
      <c r="AQ424" s="98">
        <f t="shared" si="271"/>
        <v>-20.243043598393555</v>
      </c>
      <c r="AR424" s="169">
        <f t="shared" si="272"/>
        <v>122.11099126147818</v>
      </c>
      <c r="AS424" s="168" t="e">
        <f t="shared" si="273"/>
        <v>#DIV/0!</v>
      </c>
      <c r="AT424" s="190" t="e">
        <f t="shared" si="274"/>
        <v>#DIV/0!</v>
      </c>
      <c r="AU424" s="169" t="e">
        <f t="shared" si="275"/>
        <v>#DIV/0!</v>
      </c>
      <c r="AV424" s="225"/>
      <c r="AX424" t="e">
        <f t="shared" si="276"/>
        <v>#DIV/0!</v>
      </c>
      <c r="AY424" t="e">
        <f t="shared" si="277"/>
        <v>#DIV/0!</v>
      </c>
    </row>
    <row r="425" spans="14:51" x14ac:dyDescent="0.25">
      <c r="N425" s="170">
        <v>7</v>
      </c>
      <c r="O425" s="199">
        <f t="shared" si="278"/>
        <v>117489.75549395311</v>
      </c>
      <c r="P425" s="189" t="str">
        <f t="shared" si="244"/>
        <v>290</v>
      </c>
      <c r="Q425" s="160" t="e">
        <f t="shared" si="245"/>
        <v>#DIV/0!</v>
      </c>
      <c r="R425" s="160" t="e">
        <f t="shared" si="253"/>
        <v>#DIV/0!</v>
      </c>
      <c r="S425" s="160" t="e">
        <f t="shared" si="254"/>
        <v>#DIV/0!</v>
      </c>
      <c r="T425" s="160" t="e">
        <f t="shared" si="246"/>
        <v>#DIV/0!</v>
      </c>
      <c r="U425" s="160" t="e">
        <f t="shared" si="255"/>
        <v>#DIV/0!</v>
      </c>
      <c r="V425" s="160" t="e">
        <f t="shared" si="256"/>
        <v>#DIV/0!</v>
      </c>
      <c r="W425" s="98" t="str">
        <f t="shared" si="247"/>
        <v>1-5.8826101841641i</v>
      </c>
      <c r="X425" s="160">
        <f t="shared" si="257"/>
        <v>5.9670011378272072</v>
      </c>
      <c r="Y425" s="160">
        <f t="shared" si="258"/>
        <v>-1.4024133948455153</v>
      </c>
      <c r="Z425" s="98" t="str">
        <f t="shared" si="248"/>
        <v>0.714796639544858+0.698545414987669i</v>
      </c>
      <c r="AA425" s="160">
        <f t="shared" si="259"/>
        <v>0.99944981500069141</v>
      </c>
      <c r="AB425" s="160">
        <f t="shared" si="260"/>
        <v>0.77390023312044109</v>
      </c>
      <c r="AC425" s="171" t="e">
        <f t="shared" si="261"/>
        <v>#DIV/0!</v>
      </c>
      <c r="AD425" s="190" t="e">
        <f t="shared" si="262"/>
        <v>#DIV/0!</v>
      </c>
      <c r="AE425" s="169" t="e">
        <f t="shared" si="263"/>
        <v>#DIV/0!</v>
      </c>
      <c r="AF425" s="98" t="str">
        <f t="shared" si="249"/>
        <v>-0.0000182926829268293</v>
      </c>
      <c r="AG425" s="98" t="str">
        <f t="shared" si="250"/>
        <v>0.016403024099404i</v>
      </c>
      <c r="AH425" s="98">
        <f t="shared" si="264"/>
        <v>1.6403024099404001E-2</v>
      </c>
      <c r="AI425" s="98">
        <f t="shared" si="265"/>
        <v>1.5707963267948966</v>
      </c>
      <c r="AJ425" s="98" t="str">
        <f t="shared" si="251"/>
        <v>1+1.60798197229723i</v>
      </c>
      <c r="AK425" s="98">
        <f t="shared" si="266"/>
        <v>1.8935696510117839</v>
      </c>
      <c r="AL425" s="98">
        <f t="shared" si="267"/>
        <v>1.0144311201220118</v>
      </c>
      <c r="AM425" s="98" t="str">
        <f t="shared" si="252"/>
        <v>1+162.40617920202i</v>
      </c>
      <c r="AN425" s="98">
        <f t="shared" si="268"/>
        <v>162.40925787343107</v>
      </c>
      <c r="AO425" s="98">
        <f t="shared" si="269"/>
        <v>1.5646390034261812</v>
      </c>
      <c r="AP425" s="168" t="str">
        <f t="shared" si="270"/>
        <v>-0.0500117544706042+0.0815332014481233i</v>
      </c>
      <c r="AQ425" s="98">
        <f t="shared" si="271"/>
        <v>-20.38634037606289</v>
      </c>
      <c r="AR425" s="169">
        <f t="shared" si="272"/>
        <v>121.52458956815549</v>
      </c>
      <c r="AS425" s="168" t="e">
        <f t="shared" si="273"/>
        <v>#DIV/0!</v>
      </c>
      <c r="AT425" s="190" t="e">
        <f t="shared" si="274"/>
        <v>#DIV/0!</v>
      </c>
      <c r="AU425" s="169" t="e">
        <f t="shared" si="275"/>
        <v>#DIV/0!</v>
      </c>
      <c r="AV425" s="225"/>
      <c r="AX425" t="e">
        <f t="shared" si="276"/>
        <v>#DIV/0!</v>
      </c>
      <c r="AY425" t="e">
        <f t="shared" si="277"/>
        <v>#DIV/0!</v>
      </c>
    </row>
    <row r="426" spans="14:51" x14ac:dyDescent="0.25">
      <c r="N426" s="170">
        <v>8</v>
      </c>
      <c r="O426" s="199">
        <f t="shared" si="278"/>
        <v>120226.44346174144</v>
      </c>
      <c r="P426" s="189" t="str">
        <f t="shared" si="244"/>
        <v>290</v>
      </c>
      <c r="Q426" s="160" t="e">
        <f t="shared" si="245"/>
        <v>#DIV/0!</v>
      </c>
      <c r="R426" s="160" t="e">
        <f t="shared" si="253"/>
        <v>#DIV/0!</v>
      </c>
      <c r="S426" s="160" t="e">
        <f t="shared" si="254"/>
        <v>#DIV/0!</v>
      </c>
      <c r="T426" s="160" t="e">
        <f t="shared" si="246"/>
        <v>#DIV/0!</v>
      </c>
      <c r="U426" s="160" t="e">
        <f t="shared" si="255"/>
        <v>#DIV/0!</v>
      </c>
      <c r="V426" s="160" t="e">
        <f t="shared" si="256"/>
        <v>#DIV/0!</v>
      </c>
      <c r="W426" s="98" t="str">
        <f t="shared" si="247"/>
        <v>1-6.01963377777452i</v>
      </c>
      <c r="X426" s="160">
        <f t="shared" si="257"/>
        <v>6.1021300230758717</v>
      </c>
      <c r="Y426" s="160">
        <f t="shared" si="258"/>
        <v>-1.4061766078458258</v>
      </c>
      <c r="Z426" s="98" t="str">
        <f t="shared" si="248"/>
        <v>0.70135541926737+0.714816627946734i</v>
      </c>
      <c r="AA426" s="160">
        <f t="shared" si="259"/>
        <v>1.0014300952761743</v>
      </c>
      <c r="AB426" s="160">
        <f t="shared" si="260"/>
        <v>0.79490322552156778</v>
      </c>
      <c r="AC426" s="171" t="e">
        <f t="shared" si="261"/>
        <v>#DIV/0!</v>
      </c>
      <c r="AD426" s="190" t="e">
        <f t="shared" si="262"/>
        <v>#DIV/0!</v>
      </c>
      <c r="AE426" s="169" t="e">
        <f t="shared" si="263"/>
        <v>#DIV/0!</v>
      </c>
      <c r="AF426" s="98" t="str">
        <f t="shared" si="249"/>
        <v>-0.0000182926829268293</v>
      </c>
      <c r="AG426" s="98" t="str">
        <f t="shared" si="250"/>
        <v>0.0167850996131325i</v>
      </c>
      <c r="AH426" s="98">
        <f t="shared" si="264"/>
        <v>1.6785099613132501E-2</v>
      </c>
      <c r="AI426" s="98">
        <f t="shared" si="265"/>
        <v>1.5707963267948966</v>
      </c>
      <c r="AJ426" s="98" t="str">
        <f t="shared" si="251"/>
        <v>1+1.64543668396554i</v>
      </c>
      <c r="AK426" s="98">
        <f t="shared" si="266"/>
        <v>1.9254770528208101</v>
      </c>
      <c r="AL426" s="98">
        <f t="shared" si="267"/>
        <v>1.0247040533512077</v>
      </c>
      <c r="AM426" s="98" t="str">
        <f t="shared" si="252"/>
        <v>1+166.189105080519i</v>
      </c>
      <c r="AN426" s="98">
        <f t="shared" si="268"/>
        <v>166.19211367409642</v>
      </c>
      <c r="AO426" s="98">
        <f t="shared" si="269"/>
        <v>1.5647791577950869</v>
      </c>
      <c r="AP426" s="168" t="str">
        <f t="shared" si="270"/>
        <v>-0.0483679816060034+0.0806762680268773i</v>
      </c>
      <c r="AQ426" s="98">
        <f t="shared" si="271"/>
        <v>-20.531489043522644</v>
      </c>
      <c r="AR426" s="169">
        <f t="shared" si="272"/>
        <v>120.94402410472141</v>
      </c>
      <c r="AS426" s="168" t="e">
        <f t="shared" si="273"/>
        <v>#DIV/0!</v>
      </c>
      <c r="AT426" s="190" t="e">
        <f t="shared" si="274"/>
        <v>#DIV/0!</v>
      </c>
      <c r="AU426" s="169" t="e">
        <f t="shared" si="275"/>
        <v>#DIV/0!</v>
      </c>
      <c r="AV426" s="225"/>
      <c r="AX426" t="e">
        <f t="shared" si="276"/>
        <v>#DIV/0!</v>
      </c>
      <c r="AY426" t="e">
        <f t="shared" si="277"/>
        <v>#DIV/0!</v>
      </c>
    </row>
    <row r="427" spans="14:51" x14ac:dyDescent="0.25">
      <c r="N427" s="170">
        <v>9</v>
      </c>
      <c r="O427" s="199">
        <f t="shared" si="278"/>
        <v>123026.87708123829</v>
      </c>
      <c r="P427" s="189" t="str">
        <f t="shared" si="244"/>
        <v>290</v>
      </c>
      <c r="Q427" s="160" t="e">
        <f t="shared" si="245"/>
        <v>#DIV/0!</v>
      </c>
      <c r="R427" s="160" t="e">
        <f t="shared" si="253"/>
        <v>#DIV/0!</v>
      </c>
      <c r="S427" s="160" t="e">
        <f t="shared" si="254"/>
        <v>#DIV/0!</v>
      </c>
      <c r="T427" s="160" t="e">
        <f t="shared" si="246"/>
        <v>#DIV/0!</v>
      </c>
      <c r="U427" s="160" t="e">
        <f t="shared" si="255"/>
        <v>#DIV/0!</v>
      </c>
      <c r="V427" s="160" t="e">
        <f t="shared" si="256"/>
        <v>#DIV/0!</v>
      </c>
      <c r="W427" s="98" t="str">
        <f t="shared" si="247"/>
        <v>1-6.15984906089319i</v>
      </c>
      <c r="X427" s="160">
        <f t="shared" si="257"/>
        <v>6.2404920040800249</v>
      </c>
      <c r="Y427" s="160">
        <f t="shared" si="258"/>
        <v>-1.4098587118066606</v>
      </c>
      <c r="Z427" s="98" t="str">
        <f t="shared" si="248"/>
        <v>0.687280733794171+0.731466846143651i</v>
      </c>
      <c r="AA427" s="160">
        <f t="shared" si="259"/>
        <v>1.0036924598959553</v>
      </c>
      <c r="AB427" s="160">
        <f t="shared" si="260"/>
        <v>0.81653254895170124</v>
      </c>
      <c r="AC427" s="171" t="e">
        <f t="shared" si="261"/>
        <v>#DIV/0!</v>
      </c>
      <c r="AD427" s="190" t="e">
        <f t="shared" si="262"/>
        <v>#DIV/0!</v>
      </c>
      <c r="AE427" s="169" t="e">
        <f t="shared" si="263"/>
        <v>#DIV/0!</v>
      </c>
      <c r="AF427" s="98" t="str">
        <f t="shared" si="249"/>
        <v>-0.0000182926829268293</v>
      </c>
      <c r="AG427" s="98" t="str">
        <f t="shared" si="250"/>
        <v>0.0171760748088529i</v>
      </c>
      <c r="AH427" s="98">
        <f t="shared" si="264"/>
        <v>1.7176074808852901E-2</v>
      </c>
      <c r="AI427" s="98">
        <f t="shared" si="265"/>
        <v>1.5707963267948966</v>
      </c>
      <c r="AJ427" s="98" t="str">
        <f t="shared" si="251"/>
        <v>1+1.68376382794362i</v>
      </c>
      <c r="AK427" s="98">
        <f t="shared" si="266"/>
        <v>1.9583310823993354</v>
      </c>
      <c r="AL427" s="98">
        <f t="shared" si="267"/>
        <v>1.0348686341486162</v>
      </c>
      <c r="AM427" s="98" t="str">
        <f t="shared" si="252"/>
        <v>1+170.060146622305i</v>
      </c>
      <c r="AN427" s="98">
        <f t="shared" si="268"/>
        <v>170.06308673312935</v>
      </c>
      <c r="AO427" s="98">
        <f t="shared" si="269"/>
        <v>1.5649161220894878</v>
      </c>
      <c r="AP427" s="168" t="str">
        <f t="shared" si="270"/>
        <v>-0.0467586996511539+0.0797956166191072i</v>
      </c>
      <c r="AQ427" s="98">
        <f t="shared" si="271"/>
        <v>-20.678451516982864</v>
      </c>
      <c r="AR427" s="169">
        <f t="shared" si="272"/>
        <v>120.36948400052333</v>
      </c>
      <c r="AS427" s="168" t="e">
        <f t="shared" si="273"/>
        <v>#DIV/0!</v>
      </c>
      <c r="AT427" s="190" t="e">
        <f t="shared" si="274"/>
        <v>#DIV/0!</v>
      </c>
      <c r="AU427" s="169" t="e">
        <f t="shared" si="275"/>
        <v>#DIV/0!</v>
      </c>
      <c r="AV427" s="225"/>
      <c r="AX427" t="e">
        <f t="shared" si="276"/>
        <v>#DIV/0!</v>
      </c>
      <c r="AY427" t="e">
        <f t="shared" si="277"/>
        <v>#DIV/0!</v>
      </c>
    </row>
    <row r="428" spans="14:51" x14ac:dyDescent="0.25">
      <c r="N428" s="170">
        <v>10</v>
      </c>
      <c r="O428" s="199">
        <f t="shared" si="278"/>
        <v>125892.54117941685</v>
      </c>
      <c r="P428" s="189" t="str">
        <f t="shared" si="244"/>
        <v>290</v>
      </c>
      <c r="Q428" s="160" t="e">
        <f t="shared" si="245"/>
        <v>#DIV/0!</v>
      </c>
      <c r="R428" s="160" t="e">
        <f t="shared" si="253"/>
        <v>#DIV/0!</v>
      </c>
      <c r="S428" s="160" t="e">
        <f t="shared" si="254"/>
        <v>#DIV/0!</v>
      </c>
      <c r="T428" s="160" t="e">
        <f t="shared" si="246"/>
        <v>#DIV/0!</v>
      </c>
      <c r="U428" s="160" t="e">
        <f t="shared" si="255"/>
        <v>#DIV/0!</v>
      </c>
      <c r="V428" s="160" t="e">
        <f t="shared" si="256"/>
        <v>#DIV/0!</v>
      </c>
      <c r="W428" s="98" t="str">
        <f t="shared" si="247"/>
        <v>1-6.30333037751918i</v>
      </c>
      <c r="X428" s="160">
        <f t="shared" si="257"/>
        <v>6.3821605940430617</v>
      </c>
      <c r="Y428" s="160">
        <f t="shared" si="258"/>
        <v>-1.4134612594534623</v>
      </c>
      <c r="Z428" s="98" t="str">
        <f t="shared" si="248"/>
        <v>0.672542728830348+0.748504897744503i</v>
      </c>
      <c r="AA428" s="160">
        <f t="shared" si="259"/>
        <v>1.0062670142909784</v>
      </c>
      <c r="AB428" s="160">
        <f t="shared" si="260"/>
        <v>0.83880238348638392</v>
      </c>
      <c r="AC428" s="171" t="e">
        <f t="shared" si="261"/>
        <v>#DIV/0!</v>
      </c>
      <c r="AD428" s="190" t="e">
        <f t="shared" si="262"/>
        <v>#DIV/0!</v>
      </c>
      <c r="AE428" s="169" t="e">
        <f t="shared" si="263"/>
        <v>#DIV/0!</v>
      </c>
      <c r="AF428" s="98" t="str">
        <f t="shared" si="249"/>
        <v>-0.0000182926829268293</v>
      </c>
      <c r="AG428" s="98" t="str">
        <f t="shared" si="250"/>
        <v>0.0175761569867891i</v>
      </c>
      <c r="AH428" s="98">
        <f t="shared" si="264"/>
        <v>1.7576156986789101E-2</v>
      </c>
      <c r="AI428" s="98">
        <f t="shared" si="265"/>
        <v>1.5707963267948966</v>
      </c>
      <c r="AJ428" s="98" t="str">
        <f t="shared" si="251"/>
        <v>1+1.72298372579052i</v>
      </c>
      <c r="AK428" s="98">
        <f t="shared" si="266"/>
        <v>1.9921528353364311</v>
      </c>
      <c r="AL428" s="98">
        <f t="shared" si="267"/>
        <v>1.0449218498940529</v>
      </c>
      <c r="AM428" s="98" t="str">
        <f t="shared" si="252"/>
        <v>1+174.021356304843i</v>
      </c>
      <c r="AN428" s="98">
        <f t="shared" si="268"/>
        <v>174.02422949169213</v>
      </c>
      <c r="AO428" s="98">
        <f t="shared" si="269"/>
        <v>1.5650499689090995</v>
      </c>
      <c r="AP428" s="168" t="str">
        <f t="shared" si="270"/>
        <v>-0.0451844865290915+0.0788929018766017i</v>
      </c>
      <c r="AQ428" s="98">
        <f t="shared" si="271"/>
        <v>-20.827189011961327</v>
      </c>
      <c r="AR428" s="169">
        <f t="shared" si="272"/>
        <v>119.80114602564039</v>
      </c>
      <c r="AS428" s="168" t="e">
        <f t="shared" si="273"/>
        <v>#DIV/0!</v>
      </c>
      <c r="AT428" s="190" t="e">
        <f t="shared" si="274"/>
        <v>#DIV/0!</v>
      </c>
      <c r="AU428" s="169" t="e">
        <f t="shared" si="275"/>
        <v>#DIV/0!</v>
      </c>
      <c r="AV428" s="225"/>
      <c r="AX428" t="e">
        <f t="shared" si="276"/>
        <v>#DIV/0!</v>
      </c>
      <c r="AY428" t="e">
        <f t="shared" si="277"/>
        <v>#DIV/0!</v>
      </c>
    </row>
    <row r="429" spans="14:51" x14ac:dyDescent="0.25">
      <c r="N429" s="170">
        <v>11</v>
      </c>
      <c r="O429" s="199">
        <f t="shared" si="278"/>
        <v>128824.95516931375</v>
      </c>
      <c r="P429" s="189" t="str">
        <f t="shared" si="244"/>
        <v>290</v>
      </c>
      <c r="Q429" s="160" t="e">
        <f t="shared" si="245"/>
        <v>#DIV/0!</v>
      </c>
      <c r="R429" s="160" t="e">
        <f t="shared" si="253"/>
        <v>#DIV/0!</v>
      </c>
      <c r="S429" s="160" t="e">
        <f t="shared" si="254"/>
        <v>#DIV/0!</v>
      </c>
      <c r="T429" s="160" t="e">
        <f t="shared" si="246"/>
        <v>#DIV/0!</v>
      </c>
      <c r="U429" s="160" t="e">
        <f t="shared" si="255"/>
        <v>#DIV/0!</v>
      </c>
      <c r="V429" s="160" t="e">
        <f t="shared" si="256"/>
        <v>#DIV/0!</v>
      </c>
      <c r="W429" s="98" t="str">
        <f t="shared" si="247"/>
        <v>1-6.45015380334579i</v>
      </c>
      <c r="X429" s="160">
        <f t="shared" si="257"/>
        <v>6.5272110496609628</v>
      </c>
      <c r="Y429" s="160">
        <f t="shared" si="258"/>
        <v>-1.4169857866731044</v>
      </c>
      <c r="Z429" s="98" t="str">
        <f t="shared" si="248"/>
        <v>0.657110143091412+0.765939816549774i</v>
      </c>
      <c r="AA429" s="160">
        <f t="shared" si="259"/>
        <v>1.0091865747868021</v>
      </c>
      <c r="AB429" s="160">
        <f t="shared" si="260"/>
        <v>0.86172594507218236</v>
      </c>
      <c r="AC429" s="171" t="e">
        <f t="shared" si="261"/>
        <v>#DIV/0!</v>
      </c>
      <c r="AD429" s="190" t="e">
        <f t="shared" si="262"/>
        <v>#DIV/0!</v>
      </c>
      <c r="AE429" s="169" t="e">
        <f t="shared" si="263"/>
        <v>#DIV/0!</v>
      </c>
      <c r="AF429" s="98" t="str">
        <f t="shared" si="249"/>
        <v>-0.0000182926829268293</v>
      </c>
      <c r="AG429" s="98" t="str">
        <f t="shared" si="250"/>
        <v>0.0179855582758078i</v>
      </c>
      <c r="AH429" s="98">
        <f t="shared" si="264"/>
        <v>1.7985558275807799E-2</v>
      </c>
      <c r="AI429" s="98">
        <f t="shared" si="265"/>
        <v>1.5707963267948966</v>
      </c>
      <c r="AJ429" s="98" t="str">
        <f t="shared" si="251"/>
        <v>1+1.76311717241523i</v>
      </c>
      <c r="AK429" s="98">
        <f t="shared" si="266"/>
        <v>2.0269637795642712</v>
      </c>
      <c r="AL429" s="98">
        <f t="shared" si="267"/>
        <v>1.0548609019761641</v>
      </c>
      <c r="AM429" s="98" t="str">
        <f t="shared" si="252"/>
        <v>1+178.074834413938i</v>
      </c>
      <c r="AN429" s="98">
        <f t="shared" si="268"/>
        <v>178.0776422001129</v>
      </c>
      <c r="AO429" s="98">
        <f t="shared" si="269"/>
        <v>1.5651807692020832</v>
      </c>
      <c r="AP429" s="168" t="str">
        <f t="shared" si="270"/>
        <v>-0.0436458225536029+0.0779697754295852i</v>
      </c>
      <c r="AQ429" s="98">
        <f t="shared" si="271"/>
        <v>-20.97766215338488</v>
      </c>
      <c r="AR429" s="169">
        <f t="shared" si="272"/>
        <v>119.23917459372167</v>
      </c>
      <c r="AS429" s="168" t="e">
        <f t="shared" si="273"/>
        <v>#DIV/0!</v>
      </c>
      <c r="AT429" s="190" t="e">
        <f t="shared" si="274"/>
        <v>#DIV/0!</v>
      </c>
      <c r="AU429" s="169" t="e">
        <f t="shared" si="275"/>
        <v>#DIV/0!</v>
      </c>
      <c r="AV429" s="225"/>
      <c r="AX429" t="e">
        <f t="shared" si="276"/>
        <v>#DIV/0!</v>
      </c>
      <c r="AY429" t="e">
        <f t="shared" si="277"/>
        <v>#DIV/0!</v>
      </c>
    </row>
    <row r="430" spans="14:51" x14ac:dyDescent="0.25">
      <c r="N430" s="170">
        <v>12</v>
      </c>
      <c r="O430" s="199">
        <f t="shared" si="278"/>
        <v>131825.67385564081</v>
      </c>
      <c r="P430" s="189" t="str">
        <f t="shared" si="244"/>
        <v>290</v>
      </c>
      <c r="Q430" s="160" t="e">
        <f t="shared" si="245"/>
        <v>#DIV/0!</v>
      </c>
      <c r="R430" s="160" t="e">
        <f t="shared" si="253"/>
        <v>#DIV/0!</v>
      </c>
      <c r="S430" s="160" t="e">
        <f t="shared" si="254"/>
        <v>#DIV/0!</v>
      </c>
      <c r="T430" s="160" t="e">
        <f t="shared" si="246"/>
        <v>#DIV/0!</v>
      </c>
      <c r="U430" s="160" t="e">
        <f t="shared" si="255"/>
        <v>#DIV/0!</v>
      </c>
      <c r="V430" s="160" t="e">
        <f t="shared" si="256"/>
        <v>#DIV/0!</v>
      </c>
      <c r="W430" s="98" t="str">
        <f t="shared" si="247"/>
        <v>1-6.60039718609679i</v>
      </c>
      <c r="X430" s="160">
        <f t="shared" si="257"/>
        <v>6.6757204116285775</v>
      </c>
      <c r="Y430" s="160">
        <f t="shared" si="258"/>
        <v>-1.4204338117754645</v>
      </c>
      <c r="Z430" s="98" t="str">
        <f t="shared" si="248"/>
        <v>0.640950241993931+0.783780846784188i</v>
      </c>
      <c r="AA430" s="160">
        <f t="shared" si="259"/>
        <v>1.0124868534938207</v>
      </c>
      <c r="AB430" s="160">
        <f t="shared" si="260"/>
        <v>0.88531524701437447</v>
      </c>
      <c r="AC430" s="171" t="e">
        <f t="shared" si="261"/>
        <v>#DIV/0!</v>
      </c>
      <c r="AD430" s="190" t="e">
        <f t="shared" si="262"/>
        <v>#DIV/0!</v>
      </c>
      <c r="AE430" s="169" t="e">
        <f t="shared" si="263"/>
        <v>#DIV/0!</v>
      </c>
      <c r="AF430" s="98" t="str">
        <f t="shared" si="249"/>
        <v>-0.0000182926829268293</v>
      </c>
      <c r="AG430" s="98" t="str">
        <f t="shared" si="250"/>
        <v>0.0184044957458912i</v>
      </c>
      <c r="AH430" s="98">
        <f t="shared" si="264"/>
        <v>1.8404495745891199E-2</v>
      </c>
      <c r="AI430" s="98">
        <f t="shared" si="265"/>
        <v>1.5707963267948966</v>
      </c>
      <c r="AJ430" s="98" t="str">
        <f t="shared" si="251"/>
        <v>1+1.80418544710236i</v>
      </c>
      <c r="AK430" s="98">
        <f t="shared" si="266"/>
        <v>2.0627857686962896</v>
      </c>
      <c r="AL430" s="98">
        <f t="shared" si="267"/>
        <v>1.0646832049657273</v>
      </c>
      <c r="AM430" s="98" t="str">
        <f t="shared" si="252"/>
        <v>1+182.222730157338i</v>
      </c>
      <c r="AN430" s="98">
        <f t="shared" si="268"/>
        <v>182.22547403147021</v>
      </c>
      <c r="AO430" s="98">
        <f t="shared" si="269"/>
        <v>1.5653085923025725</v>
      </c>
      <c r="AP430" s="168" t="str">
        <f t="shared" si="270"/>
        <v>-0.0421430929552482+0.0770278797064984i</v>
      </c>
      <c r="AQ430" s="98">
        <f t="shared" si="271"/>
        <v>-21.129831083114002</v>
      </c>
      <c r="AR430" s="169">
        <f t="shared" si="272"/>
        <v>118.68372181150329</v>
      </c>
      <c r="AS430" s="168" t="e">
        <f t="shared" si="273"/>
        <v>#DIV/0!</v>
      </c>
      <c r="AT430" s="190" t="e">
        <f t="shared" si="274"/>
        <v>#DIV/0!</v>
      </c>
      <c r="AU430" s="169" t="e">
        <f t="shared" si="275"/>
        <v>#DIV/0!</v>
      </c>
      <c r="AV430" s="225"/>
      <c r="AX430" t="e">
        <f t="shared" si="276"/>
        <v>#DIV/0!</v>
      </c>
      <c r="AY430" t="e">
        <f t="shared" si="277"/>
        <v>#DIV/0!</v>
      </c>
    </row>
    <row r="431" spans="14:51" x14ac:dyDescent="0.25">
      <c r="N431" s="170">
        <v>13</v>
      </c>
      <c r="O431" s="199">
        <f t="shared" si="278"/>
        <v>134896.28825916545</v>
      </c>
      <c r="P431" s="189" t="str">
        <f t="shared" si="244"/>
        <v>290</v>
      </c>
      <c r="Q431" s="160" t="e">
        <f t="shared" si="245"/>
        <v>#DIV/0!</v>
      </c>
      <c r="R431" s="160" t="e">
        <f t="shared" si="253"/>
        <v>#DIV/0!</v>
      </c>
      <c r="S431" s="160" t="e">
        <f t="shared" si="254"/>
        <v>#DIV/0!</v>
      </c>
      <c r="T431" s="160" t="e">
        <f t="shared" si="246"/>
        <v>#DIV/0!</v>
      </c>
      <c r="U431" s="160" t="e">
        <f t="shared" si="255"/>
        <v>#DIV/0!</v>
      </c>
      <c r="V431" s="160" t="e">
        <f t="shared" si="256"/>
        <v>#DIV/0!</v>
      </c>
      <c r="W431" s="98" t="str">
        <f t="shared" si="247"/>
        <v>1-6.75414018680245i</v>
      </c>
      <c r="X431" s="160">
        <f t="shared" si="257"/>
        <v>6.8277675460563128</v>
      </c>
      <c r="Y431" s="160">
        <f t="shared" si="258"/>
        <v>-1.4238068348350255</v>
      </c>
      <c r="Z431" s="98" t="str">
        <f t="shared" si="248"/>
        <v>0.624028748221078+0.802037447998135i</v>
      </c>
      <c r="AA431" s="160">
        <f t="shared" si="259"/>
        <v>1.0162066456177734</v>
      </c>
      <c r="AB431" s="160">
        <f t="shared" si="260"/>
        <v>0.90958083745153551</v>
      </c>
      <c r="AC431" s="171" t="e">
        <f t="shared" si="261"/>
        <v>#DIV/0!</v>
      </c>
      <c r="AD431" s="190" t="e">
        <f t="shared" si="262"/>
        <v>#DIV/0!</v>
      </c>
      <c r="AE431" s="169" t="e">
        <f t="shared" si="263"/>
        <v>#DIV/0!</v>
      </c>
      <c r="AF431" s="98" t="str">
        <f t="shared" si="249"/>
        <v>-0.0000182926829268293</v>
      </c>
      <c r="AG431" s="98" t="str">
        <f t="shared" si="250"/>
        <v>0.0188331915232314i</v>
      </c>
      <c r="AH431" s="98">
        <f t="shared" si="264"/>
        <v>1.8833191523231398E-2</v>
      </c>
      <c r="AI431" s="98">
        <f t="shared" si="265"/>
        <v>1.5707963267948966</v>
      </c>
      <c r="AJ431" s="98" t="str">
        <f t="shared" si="251"/>
        <v>1+1.84621032479476i</v>
      </c>
      <c r="AK431" s="98">
        <f t="shared" si="266"/>
        <v>2.0996410558423486</v>
      </c>
      <c r="AL431" s="98">
        <f t="shared" si="267"/>
        <v>1.074386385020291</v>
      </c>
      <c r="AM431" s="98" t="str">
        <f t="shared" si="252"/>
        <v>1+186.467242804271i</v>
      </c>
      <c r="AN431" s="98">
        <f t="shared" si="268"/>
        <v>186.4699242211112</v>
      </c>
      <c r="AO431" s="98">
        <f t="shared" si="269"/>
        <v>1.5654335059673503</v>
      </c>
      <c r="AP431" s="168" t="str">
        <f t="shared" si="270"/>
        <v>-0.04067659080382+0.0760688421318717i</v>
      </c>
      <c r="AQ431" s="98">
        <f t="shared" si="271"/>
        <v>-21.283655564424752</v>
      </c>
      <c r="AR431" s="169">
        <f t="shared" si="272"/>
        <v>118.13492757231658</v>
      </c>
      <c r="AS431" s="168" t="e">
        <f t="shared" si="273"/>
        <v>#DIV/0!</v>
      </c>
      <c r="AT431" s="190" t="e">
        <f t="shared" si="274"/>
        <v>#DIV/0!</v>
      </c>
      <c r="AU431" s="169" t="e">
        <f t="shared" si="275"/>
        <v>#DIV/0!</v>
      </c>
      <c r="AV431" s="225"/>
      <c r="AX431" t="e">
        <f t="shared" si="276"/>
        <v>#DIV/0!</v>
      </c>
      <c r="AY431" t="e">
        <f t="shared" si="277"/>
        <v>#DIV/0!</v>
      </c>
    </row>
    <row r="432" spans="14:51" x14ac:dyDescent="0.25">
      <c r="N432" s="170">
        <v>14</v>
      </c>
      <c r="O432" s="199">
        <f t="shared" si="278"/>
        <v>138038.42646028858</v>
      </c>
      <c r="P432" s="189" t="str">
        <f t="shared" si="244"/>
        <v>290</v>
      </c>
      <c r="Q432" s="160" t="e">
        <f t="shared" si="245"/>
        <v>#DIV/0!</v>
      </c>
      <c r="R432" s="160" t="e">
        <f t="shared" si="253"/>
        <v>#DIV/0!</v>
      </c>
      <c r="S432" s="160" t="e">
        <f t="shared" si="254"/>
        <v>#DIV/0!</v>
      </c>
      <c r="T432" s="160" t="e">
        <f t="shared" si="246"/>
        <v>#DIV/0!</v>
      </c>
      <c r="U432" s="160" t="e">
        <f t="shared" si="255"/>
        <v>#DIV/0!</v>
      </c>
      <c r="V432" s="160" t="e">
        <f t="shared" si="256"/>
        <v>#DIV/0!</v>
      </c>
      <c r="W432" s="98" t="str">
        <f t="shared" si="247"/>
        <v>1-6.91146432203677i</v>
      </c>
      <c r="X432" s="160">
        <f t="shared" si="257"/>
        <v>6.9834331868205908</v>
      </c>
      <c r="Y432" s="160">
        <f t="shared" si="258"/>
        <v>-1.4271063371076189</v>
      </c>
      <c r="Z432" s="98" t="str">
        <f t="shared" si="248"/>
        <v>0.606309769015858+0.820719300083232i</v>
      </c>
      <c r="AA432" s="160">
        <f t="shared" si="259"/>
        <v>1.0203880171450335</v>
      </c>
      <c r="AB432" s="160">
        <f t="shared" si="260"/>
        <v>0.93453151356185427</v>
      </c>
      <c r="AC432" s="171" t="e">
        <f t="shared" si="261"/>
        <v>#DIV/0!</v>
      </c>
      <c r="AD432" s="190" t="e">
        <f t="shared" si="262"/>
        <v>#DIV/0!</v>
      </c>
      <c r="AE432" s="169" t="e">
        <f t="shared" si="263"/>
        <v>#DIV/0!</v>
      </c>
      <c r="AF432" s="98" t="str">
        <f t="shared" si="249"/>
        <v>-0.0000182926829268293</v>
      </c>
      <c r="AG432" s="98" t="str">
        <f t="shared" si="250"/>
        <v>0.019271872908004i</v>
      </c>
      <c r="AH432" s="98">
        <f t="shared" si="264"/>
        <v>1.9271872908004001E-2</v>
      </c>
      <c r="AI432" s="98">
        <f t="shared" si="265"/>
        <v>1.5707963267948966</v>
      </c>
      <c r="AJ432" s="98" t="str">
        <f t="shared" si="251"/>
        <v>1+1.88921408763886i</v>
      </c>
      <c r="AK432" s="98">
        <f t="shared" si="266"/>
        <v>2.1375523078823426</v>
      </c>
      <c r="AL432" s="98">
        <f t="shared" si="267"/>
        <v>1.0839682775700721</v>
      </c>
      <c r="AM432" s="98" t="str">
        <f t="shared" si="252"/>
        <v>1+190.810622851524i</v>
      </c>
      <c r="AN432" s="98">
        <f t="shared" si="268"/>
        <v>190.81324323271309</v>
      </c>
      <c r="AO432" s="98">
        <f t="shared" si="269"/>
        <v>1.5655555764116933</v>
      </c>
      <c r="AP432" s="168" t="str">
        <f t="shared" si="270"/>
        <v>-0.0392465202798257+0.0750942697237379i</v>
      </c>
      <c r="AQ432" s="98">
        <f t="shared" si="271"/>
        <v>-21.439095083029809</v>
      </c>
      <c r="AR432" s="169">
        <f t="shared" si="272"/>
        <v>117.59291969073045</v>
      </c>
      <c r="AS432" s="168" t="e">
        <f t="shared" si="273"/>
        <v>#DIV/0!</v>
      </c>
      <c r="AT432" s="190" t="e">
        <f t="shared" si="274"/>
        <v>#DIV/0!</v>
      </c>
      <c r="AU432" s="169" t="e">
        <f t="shared" si="275"/>
        <v>#DIV/0!</v>
      </c>
      <c r="AV432" s="225"/>
      <c r="AX432" t="e">
        <f t="shared" si="276"/>
        <v>#DIV/0!</v>
      </c>
      <c r="AY432" t="e">
        <f t="shared" si="277"/>
        <v>#DIV/0!</v>
      </c>
    </row>
    <row r="433" spans="14:51" x14ac:dyDescent="0.25">
      <c r="N433" s="170">
        <v>15</v>
      </c>
      <c r="O433" s="199">
        <f t="shared" si="278"/>
        <v>141253.75446227577</v>
      </c>
      <c r="P433" s="189" t="str">
        <f t="shared" si="244"/>
        <v>290</v>
      </c>
      <c r="Q433" s="160" t="e">
        <f t="shared" si="245"/>
        <v>#DIV/0!</v>
      </c>
      <c r="R433" s="160" t="e">
        <f t="shared" si="253"/>
        <v>#DIV/0!</v>
      </c>
      <c r="S433" s="160" t="e">
        <f t="shared" si="254"/>
        <v>#DIV/0!</v>
      </c>
      <c r="T433" s="160" t="e">
        <f t="shared" si="246"/>
        <v>#DIV/0!</v>
      </c>
      <c r="U433" s="160" t="e">
        <f t="shared" si="255"/>
        <v>#DIV/0!</v>
      </c>
      <c r="V433" s="160" t="e">
        <f t="shared" si="256"/>
        <v>#DIV/0!</v>
      </c>
      <c r="W433" s="98" t="str">
        <f t="shared" si="247"/>
        <v>1-7.0724530071387i</v>
      </c>
      <c r="X433" s="160">
        <f t="shared" si="257"/>
        <v>7.1427999788727981</v>
      </c>
      <c r="Y433" s="160">
        <f t="shared" si="258"/>
        <v>-1.4303337805176539</v>
      </c>
      <c r="Z433" s="98" t="str">
        <f t="shared" si="248"/>
        <v>0.58775572004775+0.839836308404738i</v>
      </c>
      <c r="AA433" s="160">
        <f t="shared" si="259"/>
        <v>1.0250764904941227</v>
      </c>
      <c r="AB433" s="160">
        <f t="shared" si="260"/>
        <v>0.96017401415229431</v>
      </c>
      <c r="AC433" s="171" t="e">
        <f t="shared" si="261"/>
        <v>#DIV/0!</v>
      </c>
      <c r="AD433" s="190" t="e">
        <f t="shared" si="262"/>
        <v>#DIV/0!</v>
      </c>
      <c r="AE433" s="169" t="e">
        <f t="shared" si="263"/>
        <v>#DIV/0!</v>
      </c>
      <c r="AF433" s="98" t="str">
        <f t="shared" si="249"/>
        <v>-0.0000182926829268293</v>
      </c>
      <c r="AG433" s="98" t="str">
        <f t="shared" si="250"/>
        <v>0.0197207724948858i</v>
      </c>
      <c r="AH433" s="98">
        <f t="shared" si="264"/>
        <v>1.97207724948858E-2</v>
      </c>
      <c r="AI433" s="98">
        <f t="shared" si="265"/>
        <v>1.5707963267948966</v>
      </c>
      <c r="AJ433" s="98" t="str">
        <f t="shared" si="251"/>
        <v>1+1.93321953679892i</v>
      </c>
      <c r="AK433" s="98">
        <f t="shared" si="266"/>
        <v>2.1765426201802325</v>
      </c>
      <c r="AL433" s="98">
        <f t="shared" si="267"/>
        <v>1.0934269243374835</v>
      </c>
      <c r="AM433" s="98" t="str">
        <f t="shared" si="252"/>
        <v>1+195.255173216691i</v>
      </c>
      <c r="AN433" s="98">
        <f t="shared" si="268"/>
        <v>195.25773395151344</v>
      </c>
      <c r="AO433" s="98">
        <f t="shared" si="269"/>
        <v>1.5656748683444066</v>
      </c>
      <c r="AP433" s="168" t="str">
        <f t="shared" si="270"/>
        <v>-0.0378530002473983+0.0741057441063751i</v>
      </c>
      <c r="AQ433" s="98">
        <f t="shared" si="271"/>
        <v>-21.596108944277084</v>
      </c>
      <c r="AR433" s="169">
        <f t="shared" si="272"/>
        <v>117.05781407532712</v>
      </c>
      <c r="AS433" s="168" t="e">
        <f t="shared" si="273"/>
        <v>#DIV/0!</v>
      </c>
      <c r="AT433" s="190" t="e">
        <f t="shared" si="274"/>
        <v>#DIV/0!</v>
      </c>
      <c r="AU433" s="169" t="e">
        <f t="shared" si="275"/>
        <v>#DIV/0!</v>
      </c>
      <c r="AV433" s="225"/>
      <c r="AX433" t="e">
        <f t="shared" si="276"/>
        <v>#DIV/0!</v>
      </c>
      <c r="AY433" t="e">
        <f t="shared" si="277"/>
        <v>#DIV/0!</v>
      </c>
    </row>
    <row r="434" spans="14:51" x14ac:dyDescent="0.25">
      <c r="N434" s="170">
        <v>16</v>
      </c>
      <c r="O434" s="199">
        <f t="shared" si="278"/>
        <v>144543.97707459307</v>
      </c>
      <c r="P434" s="189" t="str">
        <f t="shared" si="244"/>
        <v>290</v>
      </c>
      <c r="Q434" s="160" t="e">
        <f t="shared" si="245"/>
        <v>#DIV/0!</v>
      </c>
      <c r="R434" s="160" t="e">
        <f t="shared" si="253"/>
        <v>#DIV/0!</v>
      </c>
      <c r="S434" s="160" t="e">
        <f t="shared" si="254"/>
        <v>#DIV/0!</v>
      </c>
      <c r="T434" s="160" t="e">
        <f t="shared" si="246"/>
        <v>#DIV/0!</v>
      </c>
      <c r="U434" s="160" t="e">
        <f t="shared" si="255"/>
        <v>#DIV/0!</v>
      </c>
      <c r="V434" s="160" t="e">
        <f t="shared" si="256"/>
        <v>#DIV/0!</v>
      </c>
      <c r="W434" s="98" t="str">
        <f t="shared" si="247"/>
        <v>1-7.23719160043997i</v>
      </c>
      <c r="X434" s="160">
        <f t="shared" si="257"/>
        <v>7.305952522531121</v>
      </c>
      <c r="Y434" s="160">
        <f t="shared" si="258"/>
        <v>-1.4334906072113565</v>
      </c>
      <c r="Z434" s="98" t="str">
        <f t="shared" si="248"/>
        <v>0.568327245691312+0.859398609053506i</v>
      </c>
      <c r="AA434" s="160">
        <f t="shared" si="259"/>
        <v>1.0303212253652614</v>
      </c>
      <c r="AB434" s="160">
        <f t="shared" si="260"/>
        <v>0.98651269336875935</v>
      </c>
      <c r="AC434" s="171" t="e">
        <f t="shared" si="261"/>
        <v>#DIV/0!</v>
      </c>
      <c r="AD434" s="190" t="e">
        <f t="shared" si="262"/>
        <v>#DIV/0!</v>
      </c>
      <c r="AE434" s="169" t="e">
        <f t="shared" si="263"/>
        <v>#DIV/0!</v>
      </c>
      <c r="AF434" s="98" t="str">
        <f t="shared" si="249"/>
        <v>-0.0000182926829268293</v>
      </c>
      <c r="AG434" s="98" t="str">
        <f t="shared" si="250"/>
        <v>0.0201801282963797i</v>
      </c>
      <c r="AH434" s="98">
        <f t="shared" si="264"/>
        <v>2.0180128296379701E-2</v>
      </c>
      <c r="AI434" s="98">
        <f t="shared" si="265"/>
        <v>1.5707963267948966</v>
      </c>
      <c r="AJ434" s="98" t="str">
        <f t="shared" si="251"/>
        <v>1+1.97825000454658i</v>
      </c>
      <c r="AK434" s="98">
        <f t="shared" si="266"/>
        <v>2.2166355317211135</v>
      </c>
      <c r="AL434" s="98">
        <f t="shared" si="267"/>
        <v>1.102760569744357</v>
      </c>
      <c r="AM434" s="98" t="str">
        <f t="shared" si="252"/>
        <v>1+199.803250459205i</v>
      </c>
      <c r="AN434" s="98">
        <f t="shared" si="268"/>
        <v>199.80575290532502</v>
      </c>
      <c r="AO434" s="98">
        <f t="shared" si="269"/>
        <v>1.5657914450020636</v>
      </c>
      <c r="AP434" s="168" t="str">
        <f t="shared" si="270"/>
        <v>-0.0364960680815234+0.0731048169488002i</v>
      </c>
      <c r="AQ434" s="98">
        <f t="shared" si="271"/>
        <v>-21.754656366216899</v>
      </c>
      <c r="AR434" s="169">
        <f t="shared" si="272"/>
        <v>116.52971493651516</v>
      </c>
      <c r="AS434" s="168" t="e">
        <f t="shared" si="273"/>
        <v>#DIV/0!</v>
      </c>
      <c r="AT434" s="190" t="e">
        <f t="shared" si="274"/>
        <v>#DIV/0!</v>
      </c>
      <c r="AU434" s="169" t="e">
        <f t="shared" si="275"/>
        <v>#DIV/0!</v>
      </c>
      <c r="AV434" s="225"/>
      <c r="AX434" t="e">
        <f t="shared" si="276"/>
        <v>#DIV/0!</v>
      </c>
      <c r="AY434" t="e">
        <f t="shared" si="277"/>
        <v>#DIV/0!</v>
      </c>
    </row>
    <row r="435" spans="14:51" x14ac:dyDescent="0.25">
      <c r="N435" s="170">
        <v>17</v>
      </c>
      <c r="O435" s="199">
        <f t="shared" si="278"/>
        <v>147910.83881682079</v>
      </c>
      <c r="P435" s="189" t="str">
        <f t="shared" si="244"/>
        <v>290</v>
      </c>
      <c r="Q435" s="160" t="e">
        <f t="shared" si="245"/>
        <v>#DIV/0!</v>
      </c>
      <c r="R435" s="160" t="e">
        <f t="shared" si="253"/>
        <v>#DIV/0!</v>
      </c>
      <c r="S435" s="160" t="e">
        <f t="shared" si="254"/>
        <v>#DIV/0!</v>
      </c>
      <c r="T435" s="160" t="e">
        <f t="shared" si="246"/>
        <v>#DIV/0!</v>
      </c>
      <c r="U435" s="160" t="e">
        <f t="shared" si="255"/>
        <v>#DIV/0!</v>
      </c>
      <c r="V435" s="160" t="e">
        <f t="shared" si="256"/>
        <v>#DIV/0!</v>
      </c>
      <c r="W435" s="98" t="str">
        <f t="shared" si="247"/>
        <v>1-7.40576744852334i</v>
      </c>
      <c r="X435" s="160">
        <f t="shared" si="257"/>
        <v>7.4729774187808102</v>
      </c>
      <c r="Y435" s="160">
        <f t="shared" si="258"/>
        <v>-1.4365782391717534</v>
      </c>
      <c r="Z435" s="98" t="str">
        <f t="shared" si="248"/>
        <v>0.547983135547613+0.879416574220278i</v>
      </c>
      <c r="AA435" s="160">
        <f t="shared" si="259"/>
        <v>1.0361751916823347</v>
      </c>
      <c r="AB435" s="160">
        <f t="shared" si="260"/>
        <v>1.0135491795290907</v>
      </c>
      <c r="AC435" s="171" t="e">
        <f t="shared" si="261"/>
        <v>#DIV/0!</v>
      </c>
      <c r="AD435" s="190" t="e">
        <f t="shared" si="262"/>
        <v>#DIV/0!</v>
      </c>
      <c r="AE435" s="169" t="e">
        <f t="shared" si="263"/>
        <v>#DIV/0!</v>
      </c>
      <c r="AF435" s="98" t="str">
        <f t="shared" si="249"/>
        <v>-0.0000182926829268293</v>
      </c>
      <c r="AG435" s="98" t="str">
        <f t="shared" si="250"/>
        <v>0.0206501838690119i</v>
      </c>
      <c r="AH435" s="98">
        <f t="shared" si="264"/>
        <v>2.06501838690119E-2</v>
      </c>
      <c r="AI435" s="98">
        <f t="shared" si="265"/>
        <v>1.5707963267948966</v>
      </c>
      <c r="AJ435" s="98" t="str">
        <f t="shared" si="251"/>
        <v>1+2.02432936663188i</v>
      </c>
      <c r="AK435" s="98">
        <f t="shared" si="266"/>
        <v>2.2578550406543436</v>
      </c>
      <c r="AL435" s="98">
        <f t="shared" si="267"/>
        <v>1.1119676567618551</v>
      </c>
      <c r="AM435" s="98" t="str">
        <f t="shared" si="252"/>
        <v>1+204.45726602982i</v>
      </c>
      <c r="AN435" s="98">
        <f t="shared" si="268"/>
        <v>204.45971151400119</v>
      </c>
      <c r="AO435" s="98">
        <f t="shared" si="269"/>
        <v>1.5659053681824693</v>
      </c>
      <c r="AP435" s="168" t="str">
        <f t="shared" si="270"/>
        <v>-0.0351756837035309+0.0720930058343967i</v>
      </c>
      <c r="AQ435" s="98">
        <f t="shared" si="271"/>
        <v>-21.914696568278185</v>
      </c>
      <c r="AR435" s="169">
        <f t="shared" si="272"/>
        <v>116.00871502622866</v>
      </c>
      <c r="AS435" s="168" t="e">
        <f t="shared" si="273"/>
        <v>#DIV/0!</v>
      </c>
      <c r="AT435" s="190" t="e">
        <f t="shared" si="274"/>
        <v>#DIV/0!</v>
      </c>
      <c r="AU435" s="169" t="e">
        <f t="shared" si="275"/>
        <v>#DIV/0!</v>
      </c>
      <c r="AV435" s="225"/>
      <c r="AX435" t="e">
        <f t="shared" si="276"/>
        <v>#DIV/0!</v>
      </c>
      <c r="AY435" t="e">
        <f t="shared" si="277"/>
        <v>#DIV/0!</v>
      </c>
    </row>
    <row r="436" spans="14:51" x14ac:dyDescent="0.25">
      <c r="N436" s="170">
        <v>18</v>
      </c>
      <c r="O436" s="199">
        <f t="shared" si="278"/>
        <v>151356.12484362084</v>
      </c>
      <c r="P436" s="189" t="str">
        <f t="shared" si="244"/>
        <v>290</v>
      </c>
      <c r="Q436" s="160" t="e">
        <f t="shared" si="245"/>
        <v>#DIV/0!</v>
      </c>
      <c r="R436" s="160" t="e">
        <f t="shared" si="253"/>
        <v>#DIV/0!</v>
      </c>
      <c r="S436" s="160" t="e">
        <f t="shared" si="254"/>
        <v>#DIV/0!</v>
      </c>
      <c r="T436" s="160" t="e">
        <f t="shared" si="246"/>
        <v>#DIV/0!</v>
      </c>
      <c r="U436" s="160" t="e">
        <f t="shared" si="255"/>
        <v>#DIV/0!</v>
      </c>
      <c r="V436" s="160" t="e">
        <f t="shared" si="256"/>
        <v>#DIV/0!</v>
      </c>
      <c r="W436" s="98" t="str">
        <f t="shared" si="247"/>
        <v>1-7.57826993253486i</v>
      </c>
      <c r="X436" s="160">
        <f t="shared" si="257"/>
        <v>7.6439633156080689</v>
      </c>
      <c r="Y436" s="160">
        <f t="shared" si="258"/>
        <v>-1.4395980778913267</v>
      </c>
      <c r="Z436" s="98" t="str">
        <f t="shared" si="248"/>
        <v>0.526680237031452+0.899900817695159i</v>
      </c>
      <c r="AA436" s="160">
        <f t="shared" si="259"/>
        <v>1.0426953312295602</v>
      </c>
      <c r="AB436" s="160">
        <f t="shared" si="260"/>
        <v>1.0412820245016225</v>
      </c>
      <c r="AC436" s="171" t="e">
        <f t="shared" si="261"/>
        <v>#DIV/0!</v>
      </c>
      <c r="AD436" s="190" t="e">
        <f t="shared" si="262"/>
        <v>#DIV/0!</v>
      </c>
      <c r="AE436" s="169" t="e">
        <f t="shared" si="263"/>
        <v>#DIV/0!</v>
      </c>
      <c r="AF436" s="98" t="str">
        <f t="shared" si="249"/>
        <v>-0.0000182926829268293</v>
      </c>
      <c r="AG436" s="98" t="str">
        <f t="shared" si="250"/>
        <v>0.0211311884424689i</v>
      </c>
      <c r="AH436" s="98">
        <f t="shared" si="264"/>
        <v>2.11311884424689E-2</v>
      </c>
      <c r="AI436" s="98">
        <f t="shared" si="265"/>
        <v>1.5707963267948966</v>
      </c>
      <c r="AJ436" s="98" t="str">
        <f t="shared" si="251"/>
        <v>1+2.07148205494255i</v>
      </c>
      <c r="AK436" s="98">
        <f t="shared" si="266"/>
        <v>2.3002256202270699</v>
      </c>
      <c r="AL436" s="98">
        <f t="shared" si="267"/>
        <v>1.1210468222585577</v>
      </c>
      <c r="AM436" s="98" t="str">
        <f t="shared" si="252"/>
        <v>1+209.219687549197i</v>
      </c>
      <c r="AN436" s="98">
        <f t="shared" si="268"/>
        <v>209.22207736800536</v>
      </c>
      <c r="AO436" s="98">
        <f t="shared" si="269"/>
        <v>1.5660166982773669</v>
      </c>
      <c r="AP436" s="168" t="str">
        <f t="shared" si="270"/>
        <v>-0.0338917337803237+0.0710717905623488i</v>
      </c>
      <c r="AQ436" s="98">
        <f t="shared" si="271"/>
        <v>-22.07618885534788</v>
      </c>
      <c r="AR436" s="169">
        <f t="shared" si="272"/>
        <v>115.49489590633721</v>
      </c>
      <c r="AS436" s="168" t="e">
        <f t="shared" si="273"/>
        <v>#DIV/0!</v>
      </c>
      <c r="AT436" s="190" t="e">
        <f t="shared" si="274"/>
        <v>#DIV/0!</v>
      </c>
      <c r="AU436" s="169" t="e">
        <f t="shared" si="275"/>
        <v>#DIV/0!</v>
      </c>
      <c r="AV436" s="225"/>
      <c r="AX436" t="e">
        <f t="shared" si="276"/>
        <v>#DIV/0!</v>
      </c>
      <c r="AY436" t="e">
        <f t="shared" si="277"/>
        <v>#DIV/0!</v>
      </c>
    </row>
    <row r="437" spans="14:51" x14ac:dyDescent="0.25">
      <c r="N437" s="170">
        <v>19</v>
      </c>
      <c r="O437" s="199">
        <f t="shared" si="278"/>
        <v>154881.66189124843</v>
      </c>
      <c r="P437" s="189" t="str">
        <f t="shared" si="244"/>
        <v>290</v>
      </c>
      <c r="Q437" s="160" t="e">
        <f t="shared" si="245"/>
        <v>#DIV/0!</v>
      </c>
      <c r="R437" s="160" t="e">
        <f t="shared" si="253"/>
        <v>#DIV/0!</v>
      </c>
      <c r="S437" s="160" t="e">
        <f t="shared" si="254"/>
        <v>#DIV/0!</v>
      </c>
      <c r="T437" s="160" t="e">
        <f t="shared" si="246"/>
        <v>#DIV/0!</v>
      </c>
      <c r="U437" s="160" t="e">
        <f t="shared" si="255"/>
        <v>#DIV/0!</v>
      </c>
      <c r="V437" s="160" t="e">
        <f t="shared" si="256"/>
        <v>#DIV/0!</v>
      </c>
      <c r="W437" s="98" t="str">
        <f t="shared" si="247"/>
        <v>1-7.75479051557488i</v>
      </c>
      <c r="X437" s="160">
        <f t="shared" si="257"/>
        <v>7.8190009553938609</v>
      </c>
      <c r="Y437" s="160">
        <f t="shared" si="258"/>
        <v>-1.442551504098458</v>
      </c>
      <c r="Z437" s="98" t="str">
        <f t="shared" si="248"/>
        <v>0.504373363838946+0.920862200495178i</v>
      </c>
      <c r="AA437" s="160">
        <f t="shared" si="259"/>
        <v>1.0499427043658311</v>
      </c>
      <c r="AB437" s="160">
        <f t="shared" si="260"/>
        <v>1.0697063505931104</v>
      </c>
      <c r="AC437" s="171" t="e">
        <f t="shared" si="261"/>
        <v>#DIV/0!</v>
      </c>
      <c r="AD437" s="190" t="e">
        <f t="shared" si="262"/>
        <v>#DIV/0!</v>
      </c>
      <c r="AE437" s="169" t="e">
        <f t="shared" si="263"/>
        <v>#DIV/0!</v>
      </c>
      <c r="AF437" s="98" t="str">
        <f t="shared" si="249"/>
        <v>-0.0000182926829268293</v>
      </c>
      <c r="AG437" s="98" t="str">
        <f t="shared" si="250"/>
        <v>0.0216233970517425i</v>
      </c>
      <c r="AH437" s="98">
        <f t="shared" si="264"/>
        <v>2.1623397051742502E-2</v>
      </c>
      <c r="AI437" s="98">
        <f t="shared" si="265"/>
        <v>1.5707963267948966</v>
      </c>
      <c r="AJ437" s="98" t="str">
        <f t="shared" si="251"/>
        <v>1+2.11973307045805i</v>
      </c>
      <c r="AK437" s="98">
        <f t="shared" si="266"/>
        <v>2.343772235093144</v>
      </c>
      <c r="AL437" s="98">
        <f t="shared" si="267"/>
        <v>1.1299968919019168</v>
      </c>
      <c r="AM437" s="98" t="str">
        <f t="shared" si="252"/>
        <v>1+214.093040116263i</v>
      </c>
      <c r="AN437" s="98">
        <f t="shared" si="268"/>
        <v>214.0953755367542</v>
      </c>
      <c r="AO437" s="98">
        <f t="shared" si="269"/>
        <v>1.566125494304401</v>
      </c>
      <c r="AP437" s="168" t="str">
        <f t="shared" si="270"/>
        <v>-0.0326440360447887+0.0700426098772867i</v>
      </c>
      <c r="AQ437" s="98">
        <f t="shared" si="271"/>
        <v>-22.239092697094456</v>
      </c>
      <c r="AR437" s="169">
        <f t="shared" si="272"/>
        <v>114.98832824260154</v>
      </c>
      <c r="AS437" s="168" t="e">
        <f t="shared" si="273"/>
        <v>#DIV/0!</v>
      </c>
      <c r="AT437" s="190" t="e">
        <f t="shared" si="274"/>
        <v>#DIV/0!</v>
      </c>
      <c r="AU437" s="169" t="e">
        <f t="shared" si="275"/>
        <v>#DIV/0!</v>
      </c>
      <c r="AV437" s="225"/>
      <c r="AX437" t="e">
        <f t="shared" si="276"/>
        <v>#DIV/0!</v>
      </c>
      <c r="AY437" t="e">
        <f t="shared" si="277"/>
        <v>#DIV/0!</v>
      </c>
    </row>
    <row r="438" spans="14:51" x14ac:dyDescent="0.25">
      <c r="N438" s="170">
        <v>20</v>
      </c>
      <c r="O438" s="199">
        <f t="shared" si="278"/>
        <v>158489.31924611164</v>
      </c>
      <c r="P438" s="189" t="str">
        <f t="shared" si="244"/>
        <v>290</v>
      </c>
      <c r="Q438" s="160" t="e">
        <f t="shared" si="245"/>
        <v>#DIV/0!</v>
      </c>
      <c r="R438" s="160" t="e">
        <f t="shared" si="253"/>
        <v>#DIV/0!</v>
      </c>
      <c r="S438" s="160" t="e">
        <f t="shared" si="254"/>
        <v>#DIV/0!</v>
      </c>
      <c r="T438" s="160" t="e">
        <f t="shared" si="246"/>
        <v>#DIV/0!</v>
      </c>
      <c r="U438" s="160" t="e">
        <f t="shared" si="255"/>
        <v>#DIV/0!</v>
      </c>
      <c r="V438" s="160" t="e">
        <f t="shared" si="256"/>
        <v>#DIV/0!</v>
      </c>
      <c r="W438" s="98" t="str">
        <f t="shared" si="247"/>
        <v>1-7.93542279119302i</v>
      </c>
      <c r="X438" s="160">
        <f t="shared" si="257"/>
        <v>7.9981832233942747</v>
      </c>
      <c r="Y438" s="160">
        <f t="shared" si="258"/>
        <v>-1.4454398775339803</v>
      </c>
      <c r="Z438" s="98" t="str">
        <f t="shared" si="248"/>
        <v>0.481015200101325+0.94231183662295i</v>
      </c>
      <c r="AA438" s="160">
        <f t="shared" si="259"/>
        <v>1.05798261808417</v>
      </c>
      <c r="AB438" s="160">
        <f t="shared" si="260"/>
        <v>1.0988135035120488</v>
      </c>
      <c r="AC438" s="171" t="e">
        <f t="shared" si="261"/>
        <v>#DIV/0!</v>
      </c>
      <c r="AD438" s="190" t="e">
        <f t="shared" si="262"/>
        <v>#DIV/0!</v>
      </c>
      <c r="AE438" s="169" t="e">
        <f t="shared" si="263"/>
        <v>#DIV/0!</v>
      </c>
      <c r="AF438" s="98" t="str">
        <f t="shared" si="249"/>
        <v>-0.0000182926829268293</v>
      </c>
      <c r="AG438" s="98" t="str">
        <f t="shared" si="250"/>
        <v>0.0221270706723525i</v>
      </c>
      <c r="AH438" s="98">
        <f t="shared" si="264"/>
        <v>2.2127070672352499E-2</v>
      </c>
      <c r="AI438" s="98">
        <f t="shared" si="265"/>
        <v>1.5707963267948966</v>
      </c>
      <c r="AJ438" s="98" t="str">
        <f t="shared" si="251"/>
        <v>1+2.16910799650548i</v>
      </c>
      <c r="AK438" s="98">
        <f t="shared" si="266"/>
        <v>2.388520357984</v>
      </c>
      <c r="AL438" s="98">
        <f t="shared" si="267"/>
        <v>1.1388168746676564</v>
      </c>
      <c r="AM438" s="98" t="str">
        <f t="shared" si="252"/>
        <v>1+219.079907647054i</v>
      </c>
      <c r="AN438" s="98">
        <f t="shared" si="268"/>
        <v>219.08218990744481</v>
      </c>
      <c r="AO438" s="98">
        <f t="shared" si="269"/>
        <v>1.5662318139383571</v>
      </c>
      <c r="AP438" s="168" t="str">
        <f t="shared" si="270"/>
        <v>-0.0314323436971534+0.0690068586196982i</v>
      </c>
      <c r="AQ438" s="98">
        <f t="shared" si="271"/>
        <v>-22.40336780242297</v>
      </c>
      <c r="AR438" s="169">
        <f t="shared" si="272"/>
        <v>114.48907212105156</v>
      </c>
      <c r="AS438" s="168" t="e">
        <f t="shared" si="273"/>
        <v>#DIV/0!</v>
      </c>
      <c r="AT438" s="190" t="e">
        <f t="shared" si="274"/>
        <v>#DIV/0!</v>
      </c>
      <c r="AU438" s="169" t="e">
        <f t="shared" si="275"/>
        <v>#DIV/0!</v>
      </c>
      <c r="AV438" s="225"/>
      <c r="AX438" t="e">
        <f t="shared" si="276"/>
        <v>#DIV/0!</v>
      </c>
      <c r="AY438" t="e">
        <f t="shared" si="277"/>
        <v>#DIV/0!</v>
      </c>
    </row>
    <row r="439" spans="14:51" x14ac:dyDescent="0.25">
      <c r="N439" s="170">
        <v>21</v>
      </c>
      <c r="O439" s="199">
        <f t="shared" si="278"/>
        <v>162181.00973589328</v>
      </c>
      <c r="P439" s="189" t="str">
        <f t="shared" si="244"/>
        <v>290</v>
      </c>
      <c r="Q439" s="160" t="e">
        <f t="shared" si="245"/>
        <v>#DIV/0!</v>
      </c>
      <c r="R439" s="160" t="e">
        <f t="shared" si="253"/>
        <v>#DIV/0!</v>
      </c>
      <c r="S439" s="160" t="e">
        <f t="shared" si="254"/>
        <v>#DIV/0!</v>
      </c>
      <c r="T439" s="160" t="e">
        <f t="shared" si="246"/>
        <v>#DIV/0!</v>
      </c>
      <c r="U439" s="160" t="e">
        <f t="shared" si="255"/>
        <v>#DIV/0!</v>
      </c>
      <c r="V439" s="160" t="e">
        <f t="shared" si="256"/>
        <v>#DIV/0!</v>
      </c>
      <c r="W439" s="98" t="str">
        <f t="shared" si="247"/>
        <v>1-8.12026253301278i</v>
      </c>
      <c r="X439" s="160">
        <f t="shared" si="257"/>
        <v>8.1816051973345125</v>
      </c>
      <c r="Y439" s="160">
        <f t="shared" si="258"/>
        <v>-1.4482645367743305</v>
      </c>
      <c r="Z439" s="98" t="str">
        <f t="shared" si="248"/>
        <v>0.456556200021618+0.964261098959468i</v>
      </c>
      <c r="AA439" s="160">
        <f t="shared" si="259"/>
        <v>1.0668847317047425</v>
      </c>
      <c r="AB439" s="160">
        <f t="shared" si="260"/>
        <v>1.1285907215536353</v>
      </c>
      <c r="AC439" s="171" t="e">
        <f t="shared" si="261"/>
        <v>#DIV/0!</v>
      </c>
      <c r="AD439" s="190" t="e">
        <f t="shared" si="262"/>
        <v>#DIV/0!</v>
      </c>
      <c r="AE439" s="169" t="e">
        <f t="shared" si="263"/>
        <v>#DIV/0!</v>
      </c>
      <c r="AF439" s="98" t="str">
        <f t="shared" si="249"/>
        <v>-0.0000182926829268293</v>
      </c>
      <c r="AG439" s="98" t="str">
        <f t="shared" si="250"/>
        <v>0.0226424763587193i</v>
      </c>
      <c r="AH439" s="98">
        <f t="shared" si="264"/>
        <v>2.2642476358719299E-2</v>
      </c>
      <c r="AI439" s="98">
        <f t="shared" si="265"/>
        <v>1.5707963267948966</v>
      </c>
      <c r="AJ439" s="98" t="str">
        <f t="shared" si="251"/>
        <v>1+2.2196330123242i</v>
      </c>
      <c r="AK439" s="98">
        <f t="shared" si="266"/>
        <v>2.4344959867289577</v>
      </c>
      <c r="AL439" s="98">
        <f t="shared" si="267"/>
        <v>1.1475059570104311</v>
      </c>
      <c r="AM439" s="98" t="str">
        <f t="shared" si="252"/>
        <v>1+224.182934244744i</v>
      </c>
      <c r="AN439" s="98">
        <f t="shared" si="268"/>
        <v>224.18516455506864</v>
      </c>
      <c r="AO439" s="98">
        <f t="shared" si="269"/>
        <v>1.5663357135416922</v>
      </c>
      <c r="AP439" s="168" t="str">
        <f t="shared" si="270"/>
        <v>-0.030256349849649+0.0679658852862563i</v>
      </c>
      <c r="AQ439" s="98">
        <f t="shared" si="271"/>
        <v>-22.568974188992662</v>
      </c>
      <c r="AR439" s="169">
        <f t="shared" si="272"/>
        <v>113.99717738373309</v>
      </c>
      <c r="AS439" s="168" t="e">
        <f t="shared" si="273"/>
        <v>#DIV/0!</v>
      </c>
      <c r="AT439" s="190" t="e">
        <f t="shared" si="274"/>
        <v>#DIV/0!</v>
      </c>
      <c r="AU439" s="169" t="e">
        <f t="shared" si="275"/>
        <v>#DIV/0!</v>
      </c>
      <c r="AV439" s="225"/>
      <c r="AX439" t="e">
        <f t="shared" si="276"/>
        <v>#DIV/0!</v>
      </c>
      <c r="AY439" t="e">
        <f t="shared" si="277"/>
        <v>#DIV/0!</v>
      </c>
    </row>
    <row r="440" spans="14:51" x14ac:dyDescent="0.25">
      <c r="N440" s="170">
        <v>22</v>
      </c>
      <c r="O440" s="199">
        <f t="shared" si="278"/>
        <v>165958.69074375604</v>
      </c>
      <c r="P440" s="189" t="str">
        <f t="shared" si="244"/>
        <v>290</v>
      </c>
      <c r="Q440" s="160" t="e">
        <f t="shared" si="245"/>
        <v>#DIV/0!</v>
      </c>
      <c r="R440" s="160" t="e">
        <f t="shared" si="253"/>
        <v>#DIV/0!</v>
      </c>
      <c r="S440" s="160" t="e">
        <f t="shared" si="254"/>
        <v>#DIV/0!</v>
      </c>
      <c r="T440" s="160" t="e">
        <f t="shared" si="246"/>
        <v>#DIV/0!</v>
      </c>
      <c r="U440" s="160" t="e">
        <f t="shared" si="255"/>
        <v>#DIV/0!</v>
      </c>
      <c r="V440" s="160" t="e">
        <f t="shared" si="256"/>
        <v>#DIV/0!</v>
      </c>
      <c r="W440" s="98" t="str">
        <f t="shared" si="247"/>
        <v>1-8.30940774551197i</v>
      </c>
      <c r="X440" s="160">
        <f t="shared" si="257"/>
        <v>8.3693641981439857</v>
      </c>
      <c r="Y440" s="160">
        <f t="shared" si="258"/>
        <v>-1.4510267990979802</v>
      </c>
      <c r="Z440" s="98" t="str">
        <f t="shared" si="248"/>
        <v>0.430944482781371+0.986721625294166i</v>
      </c>
      <c r="AA440" s="160">
        <f t="shared" si="259"/>
        <v>1.0767231366803929</v>
      </c>
      <c r="AB440" s="160">
        <f t="shared" si="260"/>
        <v>1.1590208326034883</v>
      </c>
      <c r="AC440" s="171" t="e">
        <f t="shared" si="261"/>
        <v>#DIV/0!</v>
      </c>
      <c r="AD440" s="190" t="e">
        <f t="shared" si="262"/>
        <v>#DIV/0!</v>
      </c>
      <c r="AE440" s="169" t="e">
        <f t="shared" si="263"/>
        <v>#DIV/0!</v>
      </c>
      <c r="AF440" s="98" t="str">
        <f t="shared" si="249"/>
        <v>-0.0000182926829268293</v>
      </c>
      <c r="AG440" s="98" t="str">
        <f t="shared" si="250"/>
        <v>0.02316988738576i</v>
      </c>
      <c r="AH440" s="98">
        <f t="shared" si="264"/>
        <v>2.316988738576E-2</v>
      </c>
      <c r="AI440" s="98">
        <f t="shared" si="265"/>
        <v>1.5707963267948966</v>
      </c>
      <c r="AJ440" s="98" t="str">
        <f t="shared" si="251"/>
        <v>1+2.27133490694638i</v>
      </c>
      <c r="AK440" s="98">
        <f t="shared" si="266"/>
        <v>2.4817256616139347</v>
      </c>
      <c r="AL440" s="98">
        <f t="shared" si="267"/>
        <v>1.1560634967475092</v>
      </c>
      <c r="AM440" s="98" t="str">
        <f t="shared" si="252"/>
        <v>1+229.404825601584i</v>
      </c>
      <c r="AN440" s="98">
        <f t="shared" si="268"/>
        <v>229.4070051443355</v>
      </c>
      <c r="AO440" s="98">
        <f t="shared" si="269"/>
        <v>1.5664372481943736</v>
      </c>
      <c r="AP440" s="168" t="str">
        <f t="shared" si="270"/>
        <v>-0.029115691979645+0.0669209899862679i</v>
      </c>
      <c r="AQ440" s="98">
        <f t="shared" si="271"/>
        <v>-22.735872247768839</v>
      </c>
      <c r="AR440" s="169">
        <f t="shared" si="272"/>
        <v>113.51268398085604</v>
      </c>
      <c r="AS440" s="168" t="e">
        <f t="shared" si="273"/>
        <v>#DIV/0!</v>
      </c>
      <c r="AT440" s="190" t="e">
        <f t="shared" si="274"/>
        <v>#DIV/0!</v>
      </c>
      <c r="AU440" s="169" t="e">
        <f t="shared" si="275"/>
        <v>#DIV/0!</v>
      </c>
      <c r="AV440" s="225"/>
      <c r="AX440" t="e">
        <f t="shared" si="276"/>
        <v>#DIV/0!</v>
      </c>
      <c r="AY440" t="e">
        <f t="shared" si="277"/>
        <v>#DIV/0!</v>
      </c>
    </row>
    <row r="441" spans="14:51" x14ac:dyDescent="0.25">
      <c r="N441" s="170">
        <v>23</v>
      </c>
      <c r="O441" s="199">
        <f t="shared" si="278"/>
        <v>169824.36524617471</v>
      </c>
      <c r="P441" s="189" t="str">
        <f t="shared" si="244"/>
        <v>290</v>
      </c>
      <c r="Q441" s="160" t="e">
        <f t="shared" si="245"/>
        <v>#DIV/0!</v>
      </c>
      <c r="R441" s="160" t="e">
        <f t="shared" si="253"/>
        <v>#DIV/0!</v>
      </c>
      <c r="S441" s="160" t="e">
        <f t="shared" si="254"/>
        <v>#DIV/0!</v>
      </c>
      <c r="T441" s="160" t="e">
        <f t="shared" si="246"/>
        <v>#DIV/0!</v>
      </c>
      <c r="U441" s="160" t="e">
        <f t="shared" si="255"/>
        <v>#DIV/0!</v>
      </c>
      <c r="V441" s="160" t="e">
        <f t="shared" si="256"/>
        <v>#DIV/0!</v>
      </c>
      <c r="W441" s="98" t="str">
        <f t="shared" si="247"/>
        <v>1-8.50295871598578i</v>
      </c>
      <c r="X441" s="160">
        <f t="shared" si="257"/>
        <v>8.561559841860511</v>
      </c>
      <c r="Y441" s="160">
        <f t="shared" si="258"/>
        <v>-1.4537279603919948</v>
      </c>
      <c r="Z441" s="98" t="str">
        <f t="shared" si="248"/>
        <v>0.404125722494507+1.00970532449539i</v>
      </c>
      <c r="AA441" s="160">
        <f t="shared" si="259"/>
        <v>1.0875764073829701</v>
      </c>
      <c r="AB441" s="160">
        <f t="shared" si="260"/>
        <v>1.1900819917489773</v>
      </c>
      <c r="AC441" s="171" t="e">
        <f t="shared" si="261"/>
        <v>#DIV/0!</v>
      </c>
      <c r="AD441" s="190" t="e">
        <f t="shared" si="262"/>
        <v>#DIV/0!</v>
      </c>
      <c r="AE441" s="169" t="e">
        <f t="shared" si="263"/>
        <v>#DIV/0!</v>
      </c>
      <c r="AF441" s="98" t="str">
        <f t="shared" si="249"/>
        <v>-0.0000182926829268293</v>
      </c>
      <c r="AG441" s="98" t="str">
        <f t="shared" si="250"/>
        <v>0.0237095833937825i</v>
      </c>
      <c r="AH441" s="98">
        <f t="shared" si="264"/>
        <v>2.3709583393782499E-2</v>
      </c>
      <c r="AI441" s="98">
        <f t="shared" si="265"/>
        <v>1.5707963267948966</v>
      </c>
      <c r="AJ441" s="98" t="str">
        <f t="shared" si="251"/>
        <v>1+2.32424109340088i</v>
      </c>
      <c r="AK441" s="98">
        <f t="shared" si="266"/>
        <v>2.5302364830689879</v>
      </c>
      <c r="AL441" s="98">
        <f t="shared" si="267"/>
        <v>1.1644890167053172</v>
      </c>
      <c r="AM441" s="98" t="str">
        <f t="shared" si="252"/>
        <v>1+234.748350433489i</v>
      </c>
      <c r="AN441" s="98">
        <f t="shared" si="268"/>
        <v>234.75048036424585</v>
      </c>
      <c r="AO441" s="98">
        <f t="shared" si="269"/>
        <v>1.5665364717230392</v>
      </c>
      <c r="AP441" s="168" t="str">
        <f t="shared" si="270"/>
        <v>-0.0280099563593821+0.0658734227779501i</v>
      </c>
      <c r="AQ441" s="98">
        <f t="shared" si="271"/>
        <v>-22.904022802617703</v>
      </c>
      <c r="AR441" s="169">
        <f t="shared" si="272"/>
        <v>113.03562233649134</v>
      </c>
      <c r="AS441" s="168" t="e">
        <f t="shared" si="273"/>
        <v>#DIV/0!</v>
      </c>
      <c r="AT441" s="190" t="e">
        <f t="shared" si="274"/>
        <v>#DIV/0!</v>
      </c>
      <c r="AU441" s="169" t="e">
        <f t="shared" si="275"/>
        <v>#DIV/0!</v>
      </c>
      <c r="AV441" s="225"/>
      <c r="AX441" t="e">
        <f t="shared" si="276"/>
        <v>#DIV/0!</v>
      </c>
      <c r="AY441" t="e">
        <f t="shared" si="277"/>
        <v>#DIV/0!</v>
      </c>
    </row>
    <row r="442" spans="14:51" x14ac:dyDescent="0.25">
      <c r="N442" s="170">
        <v>24</v>
      </c>
      <c r="O442" s="199">
        <f t="shared" si="278"/>
        <v>173780.0828749378</v>
      </c>
      <c r="P442" s="189" t="str">
        <f t="shared" si="244"/>
        <v>290</v>
      </c>
      <c r="Q442" s="160" t="e">
        <f t="shared" si="245"/>
        <v>#DIV/0!</v>
      </c>
      <c r="R442" s="160" t="e">
        <f t="shared" si="253"/>
        <v>#DIV/0!</v>
      </c>
      <c r="S442" s="160" t="e">
        <f t="shared" si="254"/>
        <v>#DIV/0!</v>
      </c>
      <c r="T442" s="160" t="e">
        <f t="shared" si="246"/>
        <v>#DIV/0!</v>
      </c>
      <c r="U442" s="160" t="e">
        <f t="shared" si="255"/>
        <v>#DIV/0!</v>
      </c>
      <c r="V442" s="160" t="e">
        <f t="shared" si="256"/>
        <v>#DIV/0!</v>
      </c>
      <c r="W442" s="98" t="str">
        <f t="shared" si="247"/>
        <v>1-8.70101806772085i</v>
      </c>
      <c r="X442" s="160">
        <f t="shared" si="257"/>
        <v>8.7582940927331681</v>
      </c>
      <c r="Y442" s="160">
        <f t="shared" si="258"/>
        <v>-1.4563692950957585</v>
      </c>
      <c r="Z442" s="98" t="str">
        <f t="shared" si="248"/>
        <v>0.376043032974787+1.0332243828247i</v>
      </c>
      <c r="AA442" s="160">
        <f t="shared" si="259"/>
        <v>1.0995276203499207</v>
      </c>
      <c r="AB442" s="160">
        <f t="shared" si="260"/>
        <v>1.2217474730740361</v>
      </c>
      <c r="AC442" s="171" t="e">
        <f t="shared" si="261"/>
        <v>#DIV/0!</v>
      </c>
      <c r="AD442" s="190" t="e">
        <f t="shared" si="262"/>
        <v>#DIV/0!</v>
      </c>
      <c r="AE442" s="169" t="e">
        <f t="shared" si="263"/>
        <v>#DIV/0!</v>
      </c>
      <c r="AF442" s="98" t="str">
        <f t="shared" si="249"/>
        <v>-0.0000182926829268293</v>
      </c>
      <c r="AG442" s="98" t="str">
        <f t="shared" si="250"/>
        <v>0.0242618505367538i</v>
      </c>
      <c r="AH442" s="98">
        <f t="shared" si="264"/>
        <v>2.4261850536753799E-2</v>
      </c>
      <c r="AI442" s="98">
        <f t="shared" si="265"/>
        <v>1.5707963267948966</v>
      </c>
      <c r="AJ442" s="98" t="str">
        <f t="shared" si="251"/>
        <v>1+2.37837962324809i</v>
      </c>
      <c r="AK442" s="98">
        <f t="shared" si="266"/>
        <v>2.5800561296765858</v>
      </c>
      <c r="AL442" s="98">
        <f t="shared" si="267"/>
        <v>1.1727821981764559</v>
      </c>
      <c r="AM442" s="98" t="str">
        <f t="shared" si="252"/>
        <v>1+240.216341948057i</v>
      </c>
      <c r="AN442" s="98">
        <f t="shared" si="268"/>
        <v>240.21842339609563</v>
      </c>
      <c r="AO442" s="98">
        <f t="shared" si="269"/>
        <v>1.5666334367294974</v>
      </c>
      <c r="AP442" s="168" t="str">
        <f t="shared" si="270"/>
        <v>-0.0269386824334747+0.0648243823661901i</v>
      </c>
      <c r="AQ442" s="98">
        <f t="shared" si="271"/>
        <v>-23.073387164985689</v>
      </c>
      <c r="AR442" s="169">
        <f t="shared" si="272"/>
        <v>112.56601372508935</v>
      </c>
      <c r="AS442" s="168" t="e">
        <f t="shared" si="273"/>
        <v>#DIV/0!</v>
      </c>
      <c r="AT442" s="190" t="e">
        <f t="shared" si="274"/>
        <v>#DIV/0!</v>
      </c>
      <c r="AU442" s="169" t="e">
        <f t="shared" si="275"/>
        <v>#DIV/0!</v>
      </c>
      <c r="AV442" s="225"/>
      <c r="AX442" t="e">
        <f t="shared" si="276"/>
        <v>#DIV/0!</v>
      </c>
      <c r="AY442" t="e">
        <f t="shared" si="277"/>
        <v>#DIV/0!</v>
      </c>
    </row>
    <row r="443" spans="14:51" x14ac:dyDescent="0.25">
      <c r="N443" s="170">
        <v>25</v>
      </c>
      <c r="O443" s="199">
        <f t="shared" si="278"/>
        <v>177827.94100389251</v>
      </c>
      <c r="P443" s="189" t="str">
        <f t="shared" si="244"/>
        <v>290</v>
      </c>
      <c r="Q443" s="160" t="e">
        <f t="shared" si="245"/>
        <v>#DIV/0!</v>
      </c>
      <c r="R443" s="160" t="e">
        <f t="shared" si="253"/>
        <v>#DIV/0!</v>
      </c>
      <c r="S443" s="160" t="e">
        <f t="shared" si="254"/>
        <v>#DIV/0!</v>
      </c>
      <c r="T443" s="160" t="e">
        <f t="shared" si="246"/>
        <v>#DIV/0!</v>
      </c>
      <c r="U443" s="160" t="e">
        <f t="shared" si="255"/>
        <v>#DIV/0!</v>
      </c>
      <c r="V443" s="160" t="e">
        <f t="shared" si="256"/>
        <v>#DIV/0!</v>
      </c>
      <c r="W443" s="98" t="str">
        <f t="shared" si="247"/>
        <v>1-8.90369081440701i</v>
      </c>
      <c r="X443" s="160">
        <f t="shared" si="257"/>
        <v>8.9596713175515408</v>
      </c>
      <c r="Y443" s="160">
        <f t="shared" si="258"/>
        <v>-1.4589520561790237</v>
      </c>
      <c r="Z443" s="98" t="str">
        <f t="shared" si="248"/>
        <v>0.346636847072641+1.05729127039813i</v>
      </c>
      <c r="AA443" s="160">
        <f t="shared" si="259"/>
        <v>1.1126643403149725</v>
      </c>
      <c r="AB443" s="160">
        <f t="shared" si="260"/>
        <v>1.2539855294425952</v>
      </c>
      <c r="AC443" s="171" t="e">
        <f t="shared" si="261"/>
        <v>#DIV/0!</v>
      </c>
      <c r="AD443" s="190" t="e">
        <f t="shared" si="262"/>
        <v>#DIV/0!</v>
      </c>
      <c r="AE443" s="169" t="e">
        <f t="shared" si="263"/>
        <v>#DIV/0!</v>
      </c>
      <c r="AF443" s="98" t="str">
        <f t="shared" si="249"/>
        <v>-0.0000182926829268293</v>
      </c>
      <c r="AG443" s="98" t="str">
        <f t="shared" si="250"/>
        <v>0.0248269816340232i</v>
      </c>
      <c r="AH443" s="98">
        <f t="shared" si="264"/>
        <v>2.48269816340232E-2</v>
      </c>
      <c r="AI443" s="98">
        <f t="shared" si="265"/>
        <v>1.5707963267948966</v>
      </c>
      <c r="AJ443" s="98" t="str">
        <f t="shared" si="251"/>
        <v>1+2.43377920145312i</v>
      </c>
      <c r="AK443" s="98">
        <f t="shared" si="266"/>
        <v>2.631212876493612</v>
      </c>
      <c r="AL443" s="98">
        <f t="shared" si="267"/>
        <v>1.1809428742322732</v>
      </c>
      <c r="AM443" s="98" t="str">
        <f t="shared" si="252"/>
        <v>1+245.811699346765i</v>
      </c>
      <c r="AN443" s="98">
        <f t="shared" si="268"/>
        <v>245.81373341565845</v>
      </c>
      <c r="AO443" s="98">
        <f t="shared" si="269"/>
        <v>1.5667281946185807</v>
      </c>
      <c r="AP443" s="168" t="str">
        <f t="shared" si="270"/>
        <v>-0.0259013671184282+0.063775015141786i</v>
      </c>
      <c r="AQ443" s="98">
        <f t="shared" si="271"/>
        <v>-23.243927183737849</v>
      </c>
      <c r="AR443" s="169">
        <f t="shared" si="272"/>
        <v>112.10387065623765</v>
      </c>
      <c r="AS443" s="168" t="e">
        <f t="shared" si="273"/>
        <v>#DIV/0!</v>
      </c>
      <c r="AT443" s="190" t="e">
        <f t="shared" si="274"/>
        <v>#DIV/0!</v>
      </c>
      <c r="AU443" s="169" t="e">
        <f t="shared" si="275"/>
        <v>#DIV/0!</v>
      </c>
      <c r="AV443" s="225"/>
      <c r="AX443" t="e">
        <f t="shared" si="276"/>
        <v>#DIV/0!</v>
      </c>
      <c r="AY443" t="e">
        <f t="shared" si="277"/>
        <v>#DIV/0!</v>
      </c>
    </row>
    <row r="444" spans="14:51" x14ac:dyDescent="0.25">
      <c r="N444" s="170">
        <v>26</v>
      </c>
      <c r="O444" s="199">
        <f t="shared" si="278"/>
        <v>181970.08586099857</v>
      </c>
      <c r="P444" s="189" t="str">
        <f t="shared" si="244"/>
        <v>290</v>
      </c>
      <c r="Q444" s="160" t="e">
        <f t="shared" si="245"/>
        <v>#DIV/0!</v>
      </c>
      <c r="R444" s="160" t="e">
        <f t="shared" si="253"/>
        <v>#DIV/0!</v>
      </c>
      <c r="S444" s="160" t="e">
        <f t="shared" si="254"/>
        <v>#DIV/0!</v>
      </c>
      <c r="T444" s="160" t="e">
        <f t="shared" si="246"/>
        <v>#DIV/0!</v>
      </c>
      <c r="U444" s="160" t="e">
        <f t="shared" si="255"/>
        <v>#DIV/0!</v>
      </c>
      <c r="V444" s="160" t="e">
        <f t="shared" si="256"/>
        <v>#DIV/0!</v>
      </c>
      <c r="W444" s="98" t="str">
        <f t="shared" si="247"/>
        <v>1-9.11108441581714i</v>
      </c>
      <c r="X444" s="160">
        <f t="shared" si="257"/>
        <v>9.1657983412328008</v>
      </c>
      <c r="Y444" s="160">
        <f t="shared" si="258"/>
        <v>-1.461477475151659</v>
      </c>
      <c r="Z444" s="98" t="str">
        <f t="shared" si="248"/>
        <v>0.315844790325227+1.08191874779801i</v>
      </c>
      <c r="AA444" s="160">
        <f t="shared" si="259"/>
        <v>1.1270785724218169</v>
      </c>
      <c r="AB444" s="160">
        <f t="shared" si="260"/>
        <v>1.2867593336047729</v>
      </c>
      <c r="AC444" s="171" t="e">
        <f t="shared" si="261"/>
        <v>#DIV/0!</v>
      </c>
      <c r="AD444" s="190" t="e">
        <f t="shared" si="262"/>
        <v>#DIV/0!</v>
      </c>
      <c r="AE444" s="169" t="e">
        <f t="shared" si="263"/>
        <v>#DIV/0!</v>
      </c>
      <c r="AF444" s="98" t="str">
        <f t="shared" si="249"/>
        <v>-0.0000182926829268293</v>
      </c>
      <c r="AG444" s="98" t="str">
        <f t="shared" si="250"/>
        <v>0.0254052763255789i</v>
      </c>
      <c r="AH444" s="98">
        <f t="shared" si="264"/>
        <v>2.5405276325578902E-2</v>
      </c>
      <c r="AI444" s="98">
        <f t="shared" si="265"/>
        <v>1.5707963267948966</v>
      </c>
      <c r="AJ444" s="98" t="str">
        <f t="shared" si="251"/>
        <v>1+2.49046920160561i</v>
      </c>
      <c r="AK444" s="98">
        <f t="shared" si="266"/>
        <v>2.6837356136821833</v>
      </c>
      <c r="AL444" s="98">
        <f t="shared" si="267"/>
        <v>1.1889710229335313</v>
      </c>
      <c r="AM444" s="98" t="str">
        <f t="shared" si="252"/>
        <v>1+251.537389362166i</v>
      </c>
      <c r="AN444" s="98">
        <f t="shared" si="268"/>
        <v>251.53937713036882</v>
      </c>
      <c r="AO444" s="98">
        <f t="shared" si="269"/>
        <v>1.5668207956253657</v>
      </c>
      <c r="AP444" s="168" t="str">
        <f t="shared" si="270"/>
        <v>-0.0248974690014794+0.0627264145409507i</v>
      </c>
      <c r="AQ444" s="98">
        <f t="shared" si="271"/>
        <v>-23.415605290253815</v>
      </c>
      <c r="AR444" s="169">
        <f t="shared" si="272"/>
        <v>111.64919726521951</v>
      </c>
      <c r="AS444" s="168" t="e">
        <f t="shared" si="273"/>
        <v>#DIV/0!</v>
      </c>
      <c r="AT444" s="190" t="e">
        <f t="shared" si="274"/>
        <v>#DIV/0!</v>
      </c>
      <c r="AU444" s="169" t="e">
        <f t="shared" si="275"/>
        <v>#DIV/0!</v>
      </c>
      <c r="AV444" s="225"/>
      <c r="AX444" t="e">
        <f t="shared" si="276"/>
        <v>#DIV/0!</v>
      </c>
      <c r="AY444" t="e">
        <f t="shared" si="277"/>
        <v>#DIV/0!</v>
      </c>
    </row>
    <row r="445" spans="14:51" x14ac:dyDescent="0.25">
      <c r="N445" s="170">
        <v>27</v>
      </c>
      <c r="O445" s="199">
        <f t="shared" si="278"/>
        <v>186208.71366628664</v>
      </c>
      <c r="P445" s="189" t="str">
        <f t="shared" si="244"/>
        <v>290</v>
      </c>
      <c r="Q445" s="160" t="e">
        <f t="shared" si="245"/>
        <v>#DIV/0!</v>
      </c>
      <c r="R445" s="160" t="e">
        <f t="shared" si="253"/>
        <v>#DIV/0!</v>
      </c>
      <c r="S445" s="160" t="e">
        <f t="shared" si="254"/>
        <v>#DIV/0!</v>
      </c>
      <c r="T445" s="160" t="e">
        <f t="shared" si="246"/>
        <v>#DIV/0!</v>
      </c>
      <c r="U445" s="160" t="e">
        <f t="shared" si="255"/>
        <v>#DIV/0!</v>
      </c>
      <c r="V445" s="160" t="e">
        <f t="shared" si="256"/>
        <v>#DIV/0!</v>
      </c>
      <c r="W445" s="98" t="str">
        <f t="shared" si="247"/>
        <v>1-9.32330883478406i</v>
      </c>
      <c r="X445" s="160">
        <f t="shared" si="257"/>
        <v>9.3767845036964825</v>
      </c>
      <c r="Y445" s="160">
        <f t="shared" si="258"/>
        <v>-1.4639467621025761</v>
      </c>
      <c r="Z445" s="98" t="str">
        <f t="shared" si="248"/>
        <v>0.283601548651798+1.10711987283888i</v>
      </c>
      <c r="AA445" s="160">
        <f t="shared" si="259"/>
        <v>1.1428666813029751</v>
      </c>
      <c r="AB445" s="160">
        <f t="shared" si="260"/>
        <v>1.3200270126688389</v>
      </c>
      <c r="AC445" s="171" t="e">
        <f t="shared" si="261"/>
        <v>#DIV/0!</v>
      </c>
      <c r="AD445" s="190" t="e">
        <f t="shared" si="262"/>
        <v>#DIV/0!</v>
      </c>
      <c r="AE445" s="169" t="e">
        <f t="shared" si="263"/>
        <v>#DIV/0!</v>
      </c>
      <c r="AF445" s="98" t="str">
        <f t="shared" si="249"/>
        <v>-0.0000182926829268293</v>
      </c>
      <c r="AG445" s="98" t="str">
        <f t="shared" si="250"/>
        <v>0.025997041230921i</v>
      </c>
      <c r="AH445" s="98">
        <f t="shared" si="264"/>
        <v>2.5997041230921E-2</v>
      </c>
      <c r="AI445" s="98">
        <f t="shared" si="265"/>
        <v>1.5707963267948966</v>
      </c>
      <c r="AJ445" s="98" t="str">
        <f t="shared" si="251"/>
        <v>1+2.54847968149406i</v>
      </c>
      <c r="AK445" s="98">
        <f t="shared" si="266"/>
        <v>2.7376538654453859</v>
      </c>
      <c r="AL445" s="98">
        <f t="shared" si="267"/>
        <v>1.1968667604788423</v>
      </c>
      <c r="AM445" s="98" t="str">
        <f t="shared" si="252"/>
        <v>1+257.3964478309i</v>
      </c>
      <c r="AN445" s="98">
        <f t="shared" si="268"/>
        <v>257.39839035231984</v>
      </c>
      <c r="AO445" s="98">
        <f t="shared" si="269"/>
        <v>1.5669112888417753</v>
      </c>
      <c r="AP445" s="168" t="str">
        <f t="shared" si="270"/>
        <v>-0.0239264124190808+0.0616796207029713i</v>
      </c>
      <c r="AQ445" s="98">
        <f t="shared" si="271"/>
        <v>-23.588384538905601</v>
      </c>
      <c r="AR445" s="169">
        <f t="shared" si="272"/>
        <v>111.2019897071051</v>
      </c>
      <c r="AS445" s="168" t="e">
        <f t="shared" si="273"/>
        <v>#DIV/0!</v>
      </c>
      <c r="AT445" s="190" t="e">
        <f t="shared" si="274"/>
        <v>#DIV/0!</v>
      </c>
      <c r="AU445" s="169" t="e">
        <f t="shared" si="275"/>
        <v>#DIV/0!</v>
      </c>
      <c r="AV445" s="225"/>
      <c r="AX445" t="e">
        <f t="shared" si="276"/>
        <v>#DIV/0!</v>
      </c>
      <c r="AY445" t="e">
        <f t="shared" si="277"/>
        <v>#DIV/0!</v>
      </c>
    </row>
    <row r="446" spans="14:51" x14ac:dyDescent="0.25">
      <c r="N446" s="170">
        <v>28</v>
      </c>
      <c r="O446" s="199">
        <f t="shared" si="278"/>
        <v>190546.07179632492</v>
      </c>
      <c r="P446" s="189" t="str">
        <f t="shared" si="244"/>
        <v>290</v>
      </c>
      <c r="Q446" s="160" t="e">
        <f t="shared" si="245"/>
        <v>#DIV/0!</v>
      </c>
      <c r="R446" s="160" t="e">
        <f t="shared" si="253"/>
        <v>#DIV/0!</v>
      </c>
      <c r="S446" s="160" t="e">
        <f t="shared" si="254"/>
        <v>#DIV/0!</v>
      </c>
      <c r="T446" s="160" t="e">
        <f t="shared" si="246"/>
        <v>#DIV/0!</v>
      </c>
      <c r="U446" s="160" t="e">
        <f t="shared" si="255"/>
        <v>#DIV/0!</v>
      </c>
      <c r="V446" s="160" t="e">
        <f t="shared" si="256"/>
        <v>#DIV/0!</v>
      </c>
      <c r="W446" s="98" t="str">
        <f t="shared" si="247"/>
        <v>1-9.54047659550385i</v>
      </c>
      <c r="X446" s="160">
        <f t="shared" si="257"/>
        <v>9.5927417180572903</v>
      </c>
      <c r="Y446" s="160">
        <f t="shared" si="258"/>
        <v>-1.46636110576547</v>
      </c>
      <c r="Z446" s="98" t="str">
        <f t="shared" si="248"/>
        <v>0.249838729813831+1.13290800749079i</v>
      </c>
      <c r="AA446" s="160">
        <f t="shared" si="259"/>
        <v>1.1601292791545865</v>
      </c>
      <c r="AB446" s="160">
        <f t="shared" si="260"/>
        <v>1.3537417857994112</v>
      </c>
      <c r="AC446" s="171" t="e">
        <f t="shared" si="261"/>
        <v>#DIV/0!</v>
      </c>
      <c r="AD446" s="190" t="e">
        <f t="shared" si="262"/>
        <v>#DIV/0!</v>
      </c>
      <c r="AE446" s="169" t="e">
        <f t="shared" si="263"/>
        <v>#DIV/0!</v>
      </c>
      <c r="AF446" s="98" t="str">
        <f t="shared" si="249"/>
        <v>-0.0000182926829268293</v>
      </c>
      <c r="AG446" s="98" t="str">
        <f t="shared" si="250"/>
        <v>0.0266025901116353i</v>
      </c>
      <c r="AH446" s="98">
        <f t="shared" si="264"/>
        <v>2.6602590111635301E-2</v>
      </c>
      <c r="AI446" s="98">
        <f t="shared" si="265"/>
        <v>1.5707963267948966</v>
      </c>
      <c r="AJ446" s="98" t="str">
        <f t="shared" si="251"/>
        <v>1+2.60784139904278i</v>
      </c>
      <c r="AK446" s="98">
        <f t="shared" si="266"/>
        <v>2.7929978092654144</v>
      </c>
      <c r="AL446" s="98">
        <f t="shared" si="267"/>
        <v>1.204630334327669</v>
      </c>
      <c r="AM446" s="98" t="str">
        <f t="shared" si="252"/>
        <v>1+263.391981303321i</v>
      </c>
      <c r="AN446" s="98">
        <f t="shared" si="268"/>
        <v>263.39387960787735</v>
      </c>
      <c r="AO446" s="98">
        <f t="shared" si="269"/>
        <v>1.5669997222425796</v>
      </c>
      <c r="AP446" s="168" t="str">
        <f t="shared" si="270"/>
        <v>-0.0229875913982543+0.0606356204033928i</v>
      </c>
      <c r="AQ446" s="98">
        <f t="shared" si="271"/>
        <v>-23.762228643061135</v>
      </c>
      <c r="AR446" s="169">
        <f t="shared" si="272"/>
        <v>110.76223655226327</v>
      </c>
      <c r="AS446" s="168" t="e">
        <f t="shared" si="273"/>
        <v>#DIV/0!</v>
      </c>
      <c r="AT446" s="190" t="e">
        <f t="shared" si="274"/>
        <v>#DIV/0!</v>
      </c>
      <c r="AU446" s="169" t="e">
        <f t="shared" si="275"/>
        <v>#DIV/0!</v>
      </c>
      <c r="AV446" s="225"/>
      <c r="AX446" t="e">
        <f t="shared" si="276"/>
        <v>#DIV/0!</v>
      </c>
      <c r="AY446" t="e">
        <f t="shared" si="277"/>
        <v>#DIV/0!</v>
      </c>
    </row>
    <row r="447" spans="14:51" x14ac:dyDescent="0.25">
      <c r="N447" s="170">
        <v>29</v>
      </c>
      <c r="O447" s="199">
        <f t="shared" si="278"/>
        <v>194984.45997580473</v>
      </c>
      <c r="P447" s="189" t="str">
        <f t="shared" si="244"/>
        <v>290</v>
      </c>
      <c r="Q447" s="160" t="e">
        <f t="shared" si="245"/>
        <v>#DIV/0!</v>
      </c>
      <c r="R447" s="160" t="e">
        <f t="shared" si="253"/>
        <v>#DIV/0!</v>
      </c>
      <c r="S447" s="160" t="e">
        <f t="shared" si="254"/>
        <v>#DIV/0!</v>
      </c>
      <c r="T447" s="160" t="e">
        <f t="shared" si="246"/>
        <v>#DIV/0!</v>
      </c>
      <c r="U447" s="160" t="e">
        <f t="shared" si="255"/>
        <v>#DIV/0!</v>
      </c>
      <c r="V447" s="160" t="e">
        <f t="shared" si="256"/>
        <v>#DIV/0!</v>
      </c>
      <c r="W447" s="98" t="str">
        <f t="shared" si="247"/>
        <v>1-9.76270284319758i</v>
      </c>
      <c r="X447" s="160">
        <f t="shared" si="257"/>
        <v>9.8137845301686806</v>
      </c>
      <c r="Y447" s="160">
        <f t="shared" si="258"/>
        <v>-1.4687216736091664</v>
      </c>
      <c r="Z447" s="98" t="str">
        <f t="shared" si="248"/>
        <v>0.214484718345952+1.15929682496407i</v>
      </c>
      <c r="AA447" s="160">
        <f t="shared" si="259"/>
        <v>1.1789710864884331</v>
      </c>
      <c r="AB447" s="160">
        <f t="shared" si="260"/>
        <v>1.3878522119213288</v>
      </c>
      <c r="AC447" s="171" t="e">
        <f t="shared" si="261"/>
        <v>#DIV/0!</v>
      </c>
      <c r="AD447" s="190" t="e">
        <f t="shared" si="262"/>
        <v>#DIV/0!</v>
      </c>
      <c r="AE447" s="169" t="e">
        <f t="shared" si="263"/>
        <v>#DIV/0!</v>
      </c>
      <c r="AF447" s="98" t="str">
        <f t="shared" si="249"/>
        <v>-0.0000182926829268293</v>
      </c>
      <c r="AG447" s="98" t="str">
        <f t="shared" si="250"/>
        <v>0.0272222440377537i</v>
      </c>
      <c r="AH447" s="98">
        <f t="shared" si="264"/>
        <v>2.7222244037753699E-2</v>
      </c>
      <c r="AI447" s="98">
        <f t="shared" si="265"/>
        <v>1.5707963267948966</v>
      </c>
      <c r="AJ447" s="98" t="str">
        <f t="shared" si="251"/>
        <v>1+2.6685858286201i</v>
      </c>
      <c r="AK447" s="98">
        <f t="shared" si="266"/>
        <v>2.8497982954433856</v>
      </c>
      <c r="AL447" s="98">
        <f t="shared" si="267"/>
        <v>1.2122621163318175</v>
      </c>
      <c r="AM447" s="98" t="str">
        <f t="shared" si="252"/>
        <v>1+269.52716869063i</v>
      </c>
      <c r="AN447" s="98">
        <f t="shared" si="268"/>
        <v>269.52902378480002</v>
      </c>
      <c r="AO447" s="98">
        <f t="shared" si="269"/>
        <v>1.5670861427108016</v>
      </c>
      <c r="AP447" s="168" t="str">
        <f t="shared" si="270"/>
        <v>-0.0220803734468382+0.0595953472398755i</v>
      </c>
      <c r="AQ447" s="98">
        <f t="shared" si="271"/>
        <v>-23.937102006774232</v>
      </c>
      <c r="AR447" s="169">
        <f t="shared" si="272"/>
        <v>110.32991918135446</v>
      </c>
      <c r="AS447" s="168" t="e">
        <f t="shared" si="273"/>
        <v>#DIV/0!</v>
      </c>
      <c r="AT447" s="190" t="e">
        <f t="shared" si="274"/>
        <v>#DIV/0!</v>
      </c>
      <c r="AU447" s="169" t="e">
        <f t="shared" si="275"/>
        <v>#DIV/0!</v>
      </c>
      <c r="AV447" s="225"/>
      <c r="AX447" t="e">
        <f t="shared" si="276"/>
        <v>#DIV/0!</v>
      </c>
      <c r="AY447" t="e">
        <f t="shared" si="277"/>
        <v>#DIV/0!</v>
      </c>
    </row>
    <row r="448" spans="14:51" x14ac:dyDescent="0.25">
      <c r="N448" s="170">
        <v>30</v>
      </c>
      <c r="O448" s="199">
        <f t="shared" si="278"/>
        <v>199526.23149688813</v>
      </c>
      <c r="P448" s="189" t="str">
        <f t="shared" si="244"/>
        <v>290</v>
      </c>
      <c r="Q448" s="160" t="e">
        <f t="shared" si="245"/>
        <v>#DIV/0!</v>
      </c>
      <c r="R448" s="160" t="e">
        <f t="shared" si="253"/>
        <v>#DIV/0!</v>
      </c>
      <c r="S448" s="160" t="e">
        <f t="shared" si="254"/>
        <v>#DIV/0!</v>
      </c>
      <c r="T448" s="160" t="e">
        <f t="shared" si="246"/>
        <v>#DIV/0!</v>
      </c>
      <c r="U448" s="160" t="e">
        <f t="shared" si="255"/>
        <v>#DIV/0!</v>
      </c>
      <c r="V448" s="160" t="e">
        <f t="shared" si="256"/>
        <v>#DIV/0!</v>
      </c>
      <c r="W448" s="98" t="str">
        <f t="shared" si="247"/>
        <v>1-9.99010540516349i</v>
      </c>
      <c r="X448" s="160">
        <f t="shared" si="257"/>
        <v>10.040030179550099</v>
      </c>
      <c r="Y448" s="160">
        <f t="shared" si="258"/>
        <v>-1.4710296119504938</v>
      </c>
      <c r="Z448" s="98" t="str">
        <f t="shared" si="248"/>
        <v>0.1774645236498+1.18630031695906i</v>
      </c>
      <c r="AA448" s="160">
        <f t="shared" si="259"/>
        <v>1.1995007708090131</v>
      </c>
      <c r="AB448" s="160">
        <f t="shared" si="260"/>
        <v>1.4223025503019606</v>
      </c>
      <c r="AC448" s="171" t="e">
        <f t="shared" si="261"/>
        <v>#DIV/0!</v>
      </c>
      <c r="AD448" s="190" t="e">
        <f t="shared" si="262"/>
        <v>#DIV/0!</v>
      </c>
      <c r="AE448" s="169" t="e">
        <f t="shared" si="263"/>
        <v>#DIV/0!</v>
      </c>
      <c r="AF448" s="98" t="str">
        <f t="shared" si="249"/>
        <v>-0.0000182926829268293</v>
      </c>
      <c r="AG448" s="98" t="str">
        <f t="shared" si="250"/>
        <v>0.0278563315579899i</v>
      </c>
      <c r="AH448" s="98">
        <f t="shared" si="264"/>
        <v>2.7856331557989899E-2</v>
      </c>
      <c r="AI448" s="98">
        <f t="shared" si="265"/>
        <v>1.5707963267948966</v>
      </c>
      <c r="AJ448" s="98" t="str">
        <f t="shared" si="251"/>
        <v>1+2.73074517772669i</v>
      </c>
      <c r="AK448" s="98">
        <f t="shared" si="266"/>
        <v>2.9080868669414901</v>
      </c>
      <c r="AL448" s="98">
        <f t="shared" si="267"/>
        <v>1.2197625959064131</v>
      </c>
      <c r="AM448" s="98" t="str">
        <f t="shared" si="252"/>
        <v>1+275.805262950395i</v>
      </c>
      <c r="AN448" s="98">
        <f t="shared" si="268"/>
        <v>275.8070758177472</v>
      </c>
      <c r="AO448" s="98">
        <f t="shared" si="269"/>
        <v>1.5671705960625517</v>
      </c>
      <c r="AP448" s="168" t="str">
        <f t="shared" si="270"/>
        <v>-0.0212041031812877+0.058559682047924i</v>
      </c>
      <c r="AQ448" s="98">
        <f t="shared" si="271"/>
        <v>-24.112969752336241</v>
      </c>
      <c r="AR448" s="169">
        <f t="shared" si="272"/>
        <v>109.90501217802698</v>
      </c>
      <c r="AS448" s="168" t="e">
        <f t="shared" si="273"/>
        <v>#DIV/0!</v>
      </c>
      <c r="AT448" s="190" t="e">
        <f t="shared" si="274"/>
        <v>#DIV/0!</v>
      </c>
      <c r="AU448" s="169" t="e">
        <f t="shared" si="275"/>
        <v>#DIV/0!</v>
      </c>
      <c r="AV448" s="225"/>
      <c r="AX448" t="e">
        <f t="shared" si="276"/>
        <v>#DIV/0!</v>
      </c>
      <c r="AY448" t="e">
        <f t="shared" si="277"/>
        <v>#DIV/0!</v>
      </c>
    </row>
    <row r="449" spans="14:51" x14ac:dyDescent="0.25">
      <c r="N449" s="170">
        <v>31</v>
      </c>
      <c r="O449" s="199">
        <f t="shared" si="278"/>
        <v>204173.79446695308</v>
      </c>
      <c r="P449" s="189" t="str">
        <f t="shared" si="244"/>
        <v>290</v>
      </c>
      <c r="Q449" s="160" t="e">
        <f t="shared" si="245"/>
        <v>#DIV/0!</v>
      </c>
      <c r="R449" s="160" t="e">
        <f t="shared" si="253"/>
        <v>#DIV/0!</v>
      </c>
      <c r="S449" s="160" t="e">
        <f t="shared" si="254"/>
        <v>#DIV/0!</v>
      </c>
      <c r="T449" s="160" t="e">
        <f t="shared" si="246"/>
        <v>#DIV/0!</v>
      </c>
      <c r="U449" s="160" t="e">
        <f t="shared" si="255"/>
        <v>#DIV/0!</v>
      </c>
      <c r="V449" s="160" t="e">
        <f t="shared" si="256"/>
        <v>#DIV/0!</v>
      </c>
      <c r="W449" s="98" t="str">
        <f t="shared" si="247"/>
        <v>1-10.2228048532499i</v>
      </c>
      <c r="X449" s="160">
        <f t="shared" si="257"/>
        <v>10.27159866172884</v>
      </c>
      <c r="Y449" s="160">
        <f t="shared" si="258"/>
        <v>-1.4732860460876953</v>
      </c>
      <c r="Z449" s="98" t="str">
        <f t="shared" si="248"/>
        <v>0.138699620929065+1.21393280108464i</v>
      </c>
      <c r="AA449" s="160">
        <f t="shared" si="259"/>
        <v>1.2218307699493685</v>
      </c>
      <c r="AB449" s="160">
        <f t="shared" si="260"/>
        <v>1.4570332323158139</v>
      </c>
      <c r="AC449" s="171" t="e">
        <f t="shared" si="261"/>
        <v>#DIV/0!</v>
      </c>
      <c r="AD449" s="190" t="e">
        <f t="shared" si="262"/>
        <v>#DIV/0!</v>
      </c>
      <c r="AE449" s="169" t="e">
        <f t="shared" si="263"/>
        <v>#DIV/0!</v>
      </c>
      <c r="AF449" s="98" t="str">
        <f t="shared" si="249"/>
        <v>-0.0000182926829268293</v>
      </c>
      <c r="AG449" s="98" t="str">
        <f t="shared" si="250"/>
        <v>0.0285051888739403i</v>
      </c>
      <c r="AH449" s="98">
        <f t="shared" si="264"/>
        <v>2.8505188873940299E-2</v>
      </c>
      <c r="AI449" s="98">
        <f t="shared" si="265"/>
        <v>1.5707963267948966</v>
      </c>
      <c r="AJ449" s="98" t="str">
        <f t="shared" si="251"/>
        <v>1+2.79435240407217i</v>
      </c>
      <c r="AK449" s="98">
        <f t="shared" si="266"/>
        <v>2.9678957795286403</v>
      </c>
      <c r="AL449" s="98">
        <f t="shared" si="267"/>
        <v>1.2271323732683264</v>
      </c>
      <c r="AM449" s="98" t="str">
        <f t="shared" si="252"/>
        <v>1+282.229592811289i</v>
      </c>
      <c r="AN449" s="98">
        <f t="shared" si="268"/>
        <v>282.23136441300426</v>
      </c>
      <c r="AO449" s="98">
        <f t="shared" si="269"/>
        <v>1.5672531270712931</v>
      </c>
      <c r="AP449" s="168" t="str">
        <f t="shared" si="270"/>
        <v>-0.020358105783182+0.0575294535239765i</v>
      </c>
      <c r="AQ449" s="98">
        <f t="shared" si="271"/>
        <v>-24.289797743876008</v>
      </c>
      <c r="AR449" s="169">
        <f t="shared" si="272"/>
        <v>109.48748371771806</v>
      </c>
      <c r="AS449" s="168" t="e">
        <f t="shared" si="273"/>
        <v>#DIV/0!</v>
      </c>
      <c r="AT449" s="190" t="e">
        <f t="shared" si="274"/>
        <v>#DIV/0!</v>
      </c>
      <c r="AU449" s="169" t="e">
        <f t="shared" si="275"/>
        <v>#DIV/0!</v>
      </c>
      <c r="AV449" s="225"/>
      <c r="AX449" t="e">
        <f t="shared" si="276"/>
        <v>#DIV/0!</v>
      </c>
      <c r="AY449" t="e">
        <f t="shared" si="277"/>
        <v>#DIV/0!</v>
      </c>
    </row>
    <row r="450" spans="14:51" x14ac:dyDescent="0.25">
      <c r="N450" s="170">
        <v>32</v>
      </c>
      <c r="O450" s="199">
        <f t="shared" si="278"/>
        <v>208929.61308540447</v>
      </c>
      <c r="P450" s="189" t="str">
        <f t="shared" si="244"/>
        <v>290</v>
      </c>
      <c r="Q450" s="160" t="e">
        <f t="shared" si="245"/>
        <v>#DIV/0!</v>
      </c>
      <c r="R450" s="160" t="e">
        <f t="shared" si="253"/>
        <v>#DIV/0!</v>
      </c>
      <c r="S450" s="160" t="e">
        <f t="shared" si="254"/>
        <v>#DIV/0!</v>
      </c>
      <c r="T450" s="160" t="e">
        <f t="shared" si="246"/>
        <v>#DIV/0!</v>
      </c>
      <c r="U450" s="160" t="e">
        <f t="shared" si="255"/>
        <v>#DIV/0!</v>
      </c>
      <c r="V450" s="160" t="e">
        <f t="shared" si="256"/>
        <v>#DIV/0!</v>
      </c>
      <c r="W450" s="98" t="str">
        <f t="shared" si="247"/>
        <v>1-10.4609245677843i</v>
      </c>
      <c r="X450" s="160">
        <f t="shared" si="257"/>
        <v>10.508612792032693</v>
      </c>
      <c r="Y450" s="160">
        <f t="shared" si="258"/>
        <v>-1.4754920804525729</v>
      </c>
      <c r="Z450" s="98" t="str">
        <f t="shared" si="248"/>
        <v>0.098107784627751+1.24220892844967i</v>
      </c>
      <c r="AA450" s="160">
        <f t="shared" si="259"/>
        <v>1.2460771080975057</v>
      </c>
      <c r="AB450" s="160">
        <f t="shared" si="260"/>
        <v>1.4919814377165226</v>
      </c>
      <c r="AC450" s="171" t="e">
        <f t="shared" si="261"/>
        <v>#DIV/0!</v>
      </c>
      <c r="AD450" s="190" t="e">
        <f t="shared" si="262"/>
        <v>#DIV/0!</v>
      </c>
      <c r="AE450" s="169" t="e">
        <f t="shared" si="263"/>
        <v>#DIV/0!</v>
      </c>
      <c r="AF450" s="98" t="str">
        <f t="shared" si="249"/>
        <v>-0.0000182926829268293</v>
      </c>
      <c r="AG450" s="98" t="str">
        <f t="shared" si="250"/>
        <v>0.0291691600183425i</v>
      </c>
      <c r="AH450" s="98">
        <f t="shared" si="264"/>
        <v>2.9169160018342501E-2</v>
      </c>
      <c r="AI450" s="98">
        <f t="shared" si="265"/>
        <v>1.5707963267948966</v>
      </c>
      <c r="AJ450" s="98" t="str">
        <f t="shared" si="251"/>
        <v>1+2.85944123304995i</v>
      </c>
      <c r="AK450" s="98">
        <f t="shared" si="266"/>
        <v>3.0292580222335332</v>
      </c>
      <c r="AL450" s="98">
        <f t="shared" si="267"/>
        <v>1.2343721527673532</v>
      </c>
      <c r="AM450" s="98" t="str">
        <f t="shared" si="252"/>
        <v>1+288.803564538044i</v>
      </c>
      <c r="AN450" s="98">
        <f t="shared" si="268"/>
        <v>288.80529581342535</v>
      </c>
      <c r="AO450" s="98">
        <f t="shared" si="269"/>
        <v>1.5673337794915589</v>
      </c>
      <c r="AP450" s="168" t="str">
        <f t="shared" si="270"/>
        <v>-0.0195416902778757+0.0565054390338526i</v>
      </c>
      <c r="AQ450" s="98">
        <f t="shared" si="271"/>
        <v>-24.46755260720284</v>
      </c>
      <c r="AR450" s="169">
        <f t="shared" si="272"/>
        <v>109.07729595110725</v>
      </c>
      <c r="AS450" s="168" t="e">
        <f t="shared" si="273"/>
        <v>#DIV/0!</v>
      </c>
      <c r="AT450" s="190" t="e">
        <f t="shared" si="274"/>
        <v>#DIV/0!</v>
      </c>
      <c r="AU450" s="169" t="e">
        <f t="shared" si="275"/>
        <v>#DIV/0!</v>
      </c>
      <c r="AV450" s="225"/>
      <c r="AX450" t="e">
        <f t="shared" si="276"/>
        <v>#DIV/0!</v>
      </c>
      <c r="AY450" t="e">
        <f t="shared" si="277"/>
        <v>#DIV/0!</v>
      </c>
    </row>
    <row r="451" spans="14:51" x14ac:dyDescent="0.25">
      <c r="N451" s="170">
        <v>33</v>
      </c>
      <c r="O451" s="199">
        <f t="shared" si="278"/>
        <v>213796.20895022334</v>
      </c>
      <c r="P451" s="189" t="str">
        <f t="shared" si="244"/>
        <v>290</v>
      </c>
      <c r="Q451" s="160" t="e">
        <f t="shared" si="245"/>
        <v>#DIV/0!</v>
      </c>
      <c r="R451" s="160" t="e">
        <f t="shared" si="253"/>
        <v>#DIV/0!</v>
      </c>
      <c r="S451" s="160" t="e">
        <f t="shared" si="254"/>
        <v>#DIV/0!</v>
      </c>
      <c r="T451" s="160" t="e">
        <f t="shared" si="246"/>
        <v>#DIV/0!</v>
      </c>
      <c r="U451" s="160" t="e">
        <f t="shared" si="255"/>
        <v>#DIV/0!</v>
      </c>
      <c r="V451" s="160" t="e">
        <f t="shared" si="256"/>
        <v>#DIV/0!</v>
      </c>
      <c r="W451" s="98" t="str">
        <f t="shared" si="247"/>
        <v>1-10.7045908029912i</v>
      </c>
      <c r="X451" s="160">
        <f t="shared" si="257"/>
        <v>10.751198270866546</v>
      </c>
      <c r="Y451" s="160">
        <f t="shared" si="258"/>
        <v>-1.4776487987796201</v>
      </c>
      <c r="Z451" s="98" t="str">
        <f t="shared" si="248"/>
        <v>0.055602914018851+1.27114369143113i</v>
      </c>
      <c r="AA451" s="160">
        <f t="shared" si="259"/>
        <v>1.2723592135527402</v>
      </c>
      <c r="AB451" s="160">
        <f t="shared" si="260"/>
        <v>1.5270817636739802</v>
      </c>
      <c r="AC451" s="171" t="e">
        <f t="shared" si="261"/>
        <v>#DIV/0!</v>
      </c>
      <c r="AD451" s="190" t="e">
        <f t="shared" si="262"/>
        <v>#DIV/0!</v>
      </c>
      <c r="AE451" s="169" t="e">
        <f t="shared" si="263"/>
        <v>#DIV/0!</v>
      </c>
      <c r="AF451" s="98" t="str">
        <f t="shared" si="249"/>
        <v>-0.0000182926829268293</v>
      </c>
      <c r="AG451" s="98" t="str">
        <f t="shared" si="250"/>
        <v>0.0298485970374858i</v>
      </c>
      <c r="AH451" s="98">
        <f t="shared" si="264"/>
        <v>2.98485970374858E-2</v>
      </c>
      <c r="AI451" s="98">
        <f t="shared" si="265"/>
        <v>1.5707963267948966</v>
      </c>
      <c r="AJ451" s="98" t="str">
        <f t="shared" si="251"/>
        <v>1+2.92604617561864i</v>
      </c>
      <c r="AK451" s="98">
        <f t="shared" si="266"/>
        <v>3.0922073381085671</v>
      </c>
      <c r="AL451" s="98">
        <f t="shared" si="267"/>
        <v>1.2414827363324512</v>
      </c>
      <c r="AM451" s="98" t="str">
        <f t="shared" si="252"/>
        <v>1+295.530663737483i</v>
      </c>
      <c r="AN451" s="98">
        <f t="shared" si="268"/>
        <v>295.53235560445364</v>
      </c>
      <c r="AO451" s="98">
        <f t="shared" si="269"/>
        <v>1.5674125960821308</v>
      </c>
      <c r="AP451" s="168" t="str">
        <f t="shared" si="270"/>
        <v>-0.0187541526308675+0.0554883655852318i</v>
      </c>
      <c r="AQ451" s="98">
        <f t="shared" si="271"/>
        <v>-24.646201746093091</v>
      </c>
      <c r="AR451" s="169">
        <f t="shared" si="272"/>
        <v>108.67440538094752</v>
      </c>
      <c r="AS451" s="168" t="e">
        <f t="shared" si="273"/>
        <v>#DIV/0!</v>
      </c>
      <c r="AT451" s="190" t="e">
        <f t="shared" si="274"/>
        <v>#DIV/0!</v>
      </c>
      <c r="AU451" s="169" t="e">
        <f t="shared" si="275"/>
        <v>#DIV/0!</v>
      </c>
      <c r="AV451" s="225"/>
      <c r="AX451" t="e">
        <f t="shared" si="276"/>
        <v>#DIV/0!</v>
      </c>
      <c r="AY451" t="e">
        <f t="shared" si="277"/>
        <v>#DIV/0!</v>
      </c>
    </row>
    <row r="452" spans="14:51" x14ac:dyDescent="0.25">
      <c r="N452" s="170">
        <v>34</v>
      </c>
      <c r="O452" s="199">
        <f t="shared" si="278"/>
        <v>218776.16239495538</v>
      </c>
      <c r="P452" s="189" t="str">
        <f t="shared" si="244"/>
        <v>290</v>
      </c>
      <c r="Q452" s="160" t="e">
        <f t="shared" si="245"/>
        <v>#DIV/0!</v>
      </c>
      <c r="R452" s="160" t="e">
        <f t="shared" si="253"/>
        <v>#DIV/0!</v>
      </c>
      <c r="S452" s="160" t="e">
        <f t="shared" si="254"/>
        <v>#DIV/0!</v>
      </c>
      <c r="T452" s="160" t="e">
        <f t="shared" si="246"/>
        <v>#DIV/0!</v>
      </c>
      <c r="U452" s="160" t="e">
        <f t="shared" si="255"/>
        <v>#DIV/0!</v>
      </c>
      <c r="V452" s="160" t="e">
        <f t="shared" si="256"/>
        <v>#DIV/0!</v>
      </c>
      <c r="W452" s="98" t="str">
        <f t="shared" si="247"/>
        <v>1-10.953932753934i</v>
      </c>
      <c r="X452" s="160">
        <f t="shared" si="257"/>
        <v>10.999483750508842</v>
      </c>
      <c r="Y452" s="160">
        <f t="shared" si="258"/>
        <v>-1.4797572642905417</v>
      </c>
      <c r="Z452" s="98" t="str">
        <f t="shared" si="248"/>
        <v>0.01109485057306+1.30075243162336i</v>
      </c>
      <c r="AA452" s="160">
        <f t="shared" si="259"/>
        <v>1.3007997478794815</v>
      </c>
      <c r="AB452" s="160">
        <f t="shared" si="260"/>
        <v>1.5622669700532339</v>
      </c>
      <c r="AC452" s="171" t="e">
        <f t="shared" si="261"/>
        <v>#DIV/0!</v>
      </c>
      <c r="AD452" s="190" t="e">
        <f t="shared" si="262"/>
        <v>#DIV/0!</v>
      </c>
      <c r="AE452" s="169" t="e">
        <f t="shared" si="263"/>
        <v>#DIV/0!</v>
      </c>
      <c r="AF452" s="98" t="str">
        <f t="shared" si="249"/>
        <v>-0.0000182926829268293</v>
      </c>
      <c r="AG452" s="98" t="str">
        <f t="shared" si="250"/>
        <v>0.0305438601778713i</v>
      </c>
      <c r="AH452" s="98">
        <f t="shared" si="264"/>
        <v>3.05438601778713E-2</v>
      </c>
      <c r="AI452" s="98">
        <f t="shared" si="265"/>
        <v>1.5707963267948966</v>
      </c>
      <c r="AJ452" s="98" t="str">
        <f t="shared" si="251"/>
        <v>1+2.99420254660046i</v>
      </c>
      <c r="AK452" s="98">
        <f t="shared" si="266"/>
        <v>3.1567782453109814</v>
      </c>
      <c r="AL452" s="98">
        <f t="shared" si="267"/>
        <v>1.2484650170528633</v>
      </c>
      <c r="AM452" s="98" t="str">
        <f t="shared" si="252"/>
        <v>1+302.414457206646i</v>
      </c>
      <c r="AN452" s="98">
        <f t="shared" si="268"/>
        <v>302.41611056223564</v>
      </c>
      <c r="AO452" s="98">
        <f t="shared" si="269"/>
        <v>1.5674896186286893</v>
      </c>
      <c r="AP452" s="168" t="str">
        <f t="shared" si="270"/>
        <v>-0.0179947786593623+0.0544789109436517i</v>
      </c>
      <c r="AQ452" s="98">
        <f t="shared" si="271"/>
        <v>-24.825713355226643</v>
      </c>
      <c r="AR452" s="169">
        <f t="shared" si="272"/>
        <v>108.27876323113749</v>
      </c>
      <c r="AS452" s="168" t="e">
        <f t="shared" si="273"/>
        <v>#DIV/0!</v>
      </c>
      <c r="AT452" s="190" t="e">
        <f t="shared" si="274"/>
        <v>#DIV/0!</v>
      </c>
      <c r="AU452" s="169" t="e">
        <f t="shared" si="275"/>
        <v>#DIV/0!</v>
      </c>
      <c r="AV452" s="225"/>
      <c r="AX452" t="e">
        <f t="shared" si="276"/>
        <v>#DIV/0!</v>
      </c>
      <c r="AY452" t="e">
        <f t="shared" si="277"/>
        <v>#DIV/0!</v>
      </c>
    </row>
    <row r="453" spans="14:51" x14ac:dyDescent="0.25">
      <c r="N453" s="170">
        <v>35</v>
      </c>
      <c r="O453" s="199">
        <f t="shared" si="278"/>
        <v>223872.11385683404</v>
      </c>
      <c r="P453" s="189" t="str">
        <f t="shared" si="244"/>
        <v>290</v>
      </c>
      <c r="Q453" s="160" t="e">
        <f t="shared" si="245"/>
        <v>#DIV/0!</v>
      </c>
      <c r="R453" s="160" t="e">
        <f t="shared" si="253"/>
        <v>#DIV/0!</v>
      </c>
      <c r="S453" s="160" t="e">
        <f t="shared" si="254"/>
        <v>#DIV/0!</v>
      </c>
      <c r="T453" s="160" t="e">
        <f t="shared" si="246"/>
        <v>#DIV/0!</v>
      </c>
      <c r="U453" s="160" t="e">
        <f t="shared" si="255"/>
        <v>#DIV/0!</v>
      </c>
      <c r="V453" s="160" t="e">
        <f t="shared" si="256"/>
        <v>#DIV/0!</v>
      </c>
      <c r="W453" s="98" t="str">
        <f t="shared" si="247"/>
        <v>1-11.2090826250153i</v>
      </c>
      <c r="X453" s="160">
        <f t="shared" si="257"/>
        <v>11.25360090346285</v>
      </c>
      <c r="Y453" s="160">
        <f t="shared" si="258"/>
        <v>-1.4818185198926404</v>
      </c>
      <c r="Z453" s="98" t="str">
        <f t="shared" si="248"/>
        <v>-0.0355108132794999+1.33105084797234i</v>
      </c>
      <c r="AA453" s="160">
        <f t="shared" si="259"/>
        <v>1.331524456308504</v>
      </c>
      <c r="AB453" s="160">
        <f t="shared" si="260"/>
        <v>1.5974687802947436</v>
      </c>
      <c r="AC453" s="171" t="e">
        <f t="shared" si="261"/>
        <v>#DIV/0!</v>
      </c>
      <c r="AD453" s="190" t="e">
        <f t="shared" si="262"/>
        <v>#DIV/0!</v>
      </c>
      <c r="AE453" s="169" t="e">
        <f t="shared" si="263"/>
        <v>#DIV/0!</v>
      </c>
      <c r="AF453" s="98" t="str">
        <f t="shared" si="249"/>
        <v>-0.0000182926829268293</v>
      </c>
      <c r="AG453" s="98" t="str">
        <f t="shared" si="250"/>
        <v>0.0312553180772188i</v>
      </c>
      <c r="AH453" s="98">
        <f t="shared" si="264"/>
        <v>3.1255318077218798E-2</v>
      </c>
      <c r="AI453" s="98">
        <f t="shared" si="265"/>
        <v>1.5707963267948966</v>
      </c>
      <c r="AJ453" s="98" t="str">
        <f t="shared" si="251"/>
        <v>1+3.06394648340545i</v>
      </c>
      <c r="AK453" s="98">
        <f t="shared" si="266"/>
        <v>3.2230060585069684</v>
      </c>
      <c r="AL453" s="98">
        <f t="shared" si="267"/>
        <v>1.2553199729111786</v>
      </c>
      <c r="AM453" s="98" t="str">
        <f t="shared" si="252"/>
        <v>1+309.45859482395i</v>
      </c>
      <c r="AN453" s="98">
        <f t="shared" si="268"/>
        <v>309.46021054477046</v>
      </c>
      <c r="AO453" s="98">
        <f t="shared" si="269"/>
        <v>1.5675648879659503</v>
      </c>
      <c r="AP453" s="168" t="str">
        <f t="shared" si="270"/>
        <v>-0.0172628467582576+0.0534777048724728i</v>
      </c>
      <c r="AQ453" s="98">
        <f t="shared" si="271"/>
        <v>-25.006056429978003</v>
      </c>
      <c r="AR453" s="169">
        <f t="shared" si="272"/>
        <v>107.89031580705934</v>
      </c>
      <c r="AS453" s="168" t="e">
        <f t="shared" si="273"/>
        <v>#DIV/0!</v>
      </c>
      <c r="AT453" s="190" t="e">
        <f t="shared" si="274"/>
        <v>#DIV/0!</v>
      </c>
      <c r="AU453" s="169" t="e">
        <f t="shared" si="275"/>
        <v>#DIV/0!</v>
      </c>
      <c r="AV453" s="225"/>
      <c r="AX453" t="e">
        <f t="shared" si="276"/>
        <v>#DIV/0!</v>
      </c>
      <c r="AY453" t="e">
        <f t="shared" si="277"/>
        <v>#DIV/0!</v>
      </c>
    </row>
    <row r="454" spans="14:51" x14ac:dyDescent="0.25">
      <c r="N454" s="170">
        <v>36</v>
      </c>
      <c r="O454" s="199">
        <f t="shared" si="278"/>
        <v>229086.76527677779</v>
      </c>
      <c r="P454" s="189" t="str">
        <f t="shared" si="244"/>
        <v>290</v>
      </c>
      <c r="Q454" s="160" t="e">
        <f t="shared" si="245"/>
        <v>#DIV/0!</v>
      </c>
      <c r="R454" s="160" t="e">
        <f t="shared" si="253"/>
        <v>#DIV/0!</v>
      </c>
      <c r="S454" s="160" t="e">
        <f t="shared" si="254"/>
        <v>#DIV/0!</v>
      </c>
      <c r="T454" s="160" t="e">
        <f t="shared" si="246"/>
        <v>#DIV/0!</v>
      </c>
      <c r="U454" s="160" t="e">
        <f t="shared" si="255"/>
        <v>#DIV/0!</v>
      </c>
      <c r="V454" s="160" t="e">
        <f t="shared" si="256"/>
        <v>#DIV/0!</v>
      </c>
      <c r="W454" s="98" t="str">
        <f t="shared" si="247"/>
        <v>1-11.4701757000741i</v>
      </c>
      <c r="X454" s="160">
        <f t="shared" si="257"/>
        <v>11.513684492401655</v>
      </c>
      <c r="Y454" s="160">
        <f t="shared" si="258"/>
        <v>-1.4838335883896745</v>
      </c>
      <c r="Z454" s="98" t="str">
        <f t="shared" si="248"/>
        <v>-0.0843129344003699+1.36205500509945i</v>
      </c>
      <c r="AA454" s="160">
        <f t="shared" si="259"/>
        <v>1.364662048942398</v>
      </c>
      <c r="AB454" s="160">
        <f t="shared" si="260"/>
        <v>1.6326187141539623</v>
      </c>
      <c r="AC454" s="171" t="e">
        <f t="shared" si="261"/>
        <v>#DIV/0!</v>
      </c>
      <c r="AD454" s="190" t="e">
        <f t="shared" si="262"/>
        <v>#DIV/0!</v>
      </c>
      <c r="AE454" s="169" t="e">
        <f t="shared" si="263"/>
        <v>#DIV/0!</v>
      </c>
      <c r="AF454" s="98" t="str">
        <f t="shared" si="249"/>
        <v>-0.0000182926829268293</v>
      </c>
      <c r="AG454" s="98" t="str">
        <f t="shared" si="250"/>
        <v>0.0319833479599241i</v>
      </c>
      <c r="AH454" s="98">
        <f t="shared" si="264"/>
        <v>3.1983347959924101E-2</v>
      </c>
      <c r="AI454" s="98">
        <f t="shared" si="265"/>
        <v>1.5707963267948966</v>
      </c>
      <c r="AJ454" s="98" t="str">
        <f t="shared" si="251"/>
        <v>1+3.13531496519205i</v>
      </c>
      <c r="AK454" s="98">
        <f t="shared" si="266"/>
        <v>3.2909269106069834</v>
      </c>
      <c r="AL454" s="98">
        <f t="shared" si="267"/>
        <v>1.2620486606831058</v>
      </c>
      <c r="AM454" s="98" t="str">
        <f t="shared" si="252"/>
        <v>1+316.666811484397i</v>
      </c>
      <c r="AN454" s="98">
        <f t="shared" si="268"/>
        <v>316.66839042710694</v>
      </c>
      <c r="AO454" s="98">
        <f t="shared" si="269"/>
        <v>1.5676384439992994</v>
      </c>
      <c r="AP454" s="168" t="str">
        <f t="shared" si="270"/>
        <v>-0.0165576304413054+0.0524853304782661i</v>
      </c>
      <c r="AQ454" s="98">
        <f t="shared" si="271"/>
        <v>-25.187200773270803</v>
      </c>
      <c r="AR454" s="169">
        <f t="shared" si="272"/>
        <v>107.50900484633522</v>
      </c>
      <c r="AS454" s="168" t="e">
        <f t="shared" si="273"/>
        <v>#DIV/0!</v>
      </c>
      <c r="AT454" s="190" t="e">
        <f t="shared" si="274"/>
        <v>#DIV/0!</v>
      </c>
      <c r="AU454" s="169" t="e">
        <f t="shared" si="275"/>
        <v>#DIV/0!</v>
      </c>
      <c r="AV454" s="225"/>
      <c r="AX454" t="e">
        <f t="shared" si="276"/>
        <v>#DIV/0!</v>
      </c>
      <c r="AY454" t="e">
        <f t="shared" si="277"/>
        <v>#DIV/0!</v>
      </c>
    </row>
    <row r="455" spans="14:51" x14ac:dyDescent="0.25">
      <c r="N455" s="170">
        <v>37</v>
      </c>
      <c r="O455" s="199">
        <f t="shared" si="278"/>
        <v>234422.88153199267</v>
      </c>
      <c r="P455" s="189" t="str">
        <f t="shared" si="244"/>
        <v>290</v>
      </c>
      <c r="Q455" s="160" t="e">
        <f t="shared" si="245"/>
        <v>#DIV/0!</v>
      </c>
      <c r="R455" s="160" t="e">
        <f t="shared" si="253"/>
        <v>#DIV/0!</v>
      </c>
      <c r="S455" s="160" t="e">
        <f t="shared" si="254"/>
        <v>#DIV/0!</v>
      </c>
      <c r="T455" s="160" t="e">
        <f t="shared" si="246"/>
        <v>#DIV/0!</v>
      </c>
      <c r="U455" s="160" t="e">
        <f t="shared" si="255"/>
        <v>#DIV/0!</v>
      </c>
      <c r="V455" s="160" t="e">
        <f t="shared" si="256"/>
        <v>#DIV/0!</v>
      </c>
      <c r="W455" s="98" t="str">
        <f t="shared" si="247"/>
        <v>1-11.7373504141148i</v>
      </c>
      <c r="X455" s="160">
        <f t="shared" si="257"/>
        <v>11.77987244174235</v>
      </c>
      <c r="Y455" s="160">
        <f t="shared" si="258"/>
        <v>-1.4858034727038572</v>
      </c>
      <c r="Z455" s="98" t="str">
        <f t="shared" si="248"/>
        <v>-0.13541502863147+1.3937813418192i</v>
      </c>
      <c r="AA455" s="160">
        <f t="shared" si="259"/>
        <v>1.4003441215581947</v>
      </c>
      <c r="AB455" s="160">
        <f t="shared" si="260"/>
        <v>1.6676489267438792</v>
      </c>
      <c r="AC455" s="171" t="e">
        <f t="shared" si="261"/>
        <v>#DIV/0!</v>
      </c>
      <c r="AD455" s="190" t="e">
        <f t="shared" si="262"/>
        <v>#DIV/0!</v>
      </c>
      <c r="AE455" s="169" t="e">
        <f t="shared" si="263"/>
        <v>#DIV/0!</v>
      </c>
      <c r="AF455" s="98" t="str">
        <f t="shared" si="249"/>
        <v>-0.0000182926829268293</v>
      </c>
      <c r="AG455" s="98" t="str">
        <f t="shared" si="250"/>
        <v>0.0327283358370673i</v>
      </c>
      <c r="AH455" s="98">
        <f t="shared" si="264"/>
        <v>3.2728335837067302E-2</v>
      </c>
      <c r="AI455" s="98">
        <f t="shared" si="265"/>
        <v>1.5707963267948966</v>
      </c>
      <c r="AJ455" s="98" t="str">
        <f t="shared" si="251"/>
        <v>1+3.208345832474i</v>
      </c>
      <c r="AK455" s="98">
        <f t="shared" si="266"/>
        <v>3.360577774840702</v>
      </c>
      <c r="AL455" s="98">
        <f t="shared" si="267"/>
        <v>1.2686522100163291</v>
      </c>
      <c r="AM455" s="98" t="str">
        <f t="shared" si="252"/>
        <v>1+324.042929079874i</v>
      </c>
      <c r="AN455" s="98">
        <f t="shared" si="268"/>
        <v>324.04447208163305</v>
      </c>
      <c r="AO455" s="98">
        <f t="shared" si="269"/>
        <v>1.5677103257259335</v>
      </c>
      <c r="AP455" s="168" t="str">
        <f t="shared" si="270"/>
        <v>-0.015878400699576+0.0515023256442003i</v>
      </c>
      <c r="AQ455" s="98">
        <f t="shared" si="271"/>
        <v>-25.369116999698807</v>
      </c>
      <c r="AR455" s="169">
        <f t="shared" si="272"/>
        <v>107.13476785929537</v>
      </c>
      <c r="AS455" s="168" t="e">
        <f t="shared" si="273"/>
        <v>#DIV/0!</v>
      </c>
      <c r="AT455" s="190" t="e">
        <f t="shared" si="274"/>
        <v>#DIV/0!</v>
      </c>
      <c r="AU455" s="169" t="e">
        <f t="shared" si="275"/>
        <v>#DIV/0!</v>
      </c>
      <c r="AV455" s="225"/>
      <c r="AX455" t="e">
        <f t="shared" si="276"/>
        <v>#DIV/0!</v>
      </c>
      <c r="AY455" t="e">
        <f t="shared" si="277"/>
        <v>#DIV/0!</v>
      </c>
    </row>
    <row r="456" spans="14:51" x14ac:dyDescent="0.25">
      <c r="N456" s="170">
        <v>38</v>
      </c>
      <c r="O456" s="199">
        <f t="shared" si="278"/>
        <v>239883.29190194907</v>
      </c>
      <c r="P456" s="189" t="str">
        <f t="shared" si="244"/>
        <v>290</v>
      </c>
      <c r="Q456" s="160" t="e">
        <f t="shared" si="245"/>
        <v>#DIV/0!</v>
      </c>
      <c r="R456" s="160" t="e">
        <f t="shared" si="253"/>
        <v>#DIV/0!</v>
      </c>
      <c r="S456" s="160" t="e">
        <f t="shared" si="254"/>
        <v>#DIV/0!</v>
      </c>
      <c r="T456" s="160" t="e">
        <f t="shared" si="246"/>
        <v>#DIV/0!</v>
      </c>
      <c r="U456" s="160" t="e">
        <f t="shared" si="255"/>
        <v>#DIV/0!</v>
      </c>
      <c r="V456" s="160" t="e">
        <f t="shared" si="256"/>
        <v>#DIV/0!</v>
      </c>
      <c r="W456" s="98" t="str">
        <f t="shared" si="247"/>
        <v>1-12.0107484267073i</v>
      </c>
      <c r="X456" s="160">
        <f t="shared" si="257"/>
        <v>12.052305910889082</v>
      </c>
      <c r="Y456" s="160">
        <f t="shared" si="258"/>
        <v>-1.4877291561077721</v>
      </c>
      <c r="Z456" s="98" t="str">
        <f t="shared" si="248"/>
        <v>-0.18892549036603+1.42624667985525i</v>
      </c>
      <c r="AA456" s="160">
        <f t="shared" si="259"/>
        <v>1.4387051236122603</v>
      </c>
      <c r="AB456" s="160">
        <f t="shared" si="260"/>
        <v>1.7024930279619848</v>
      </c>
      <c r="AC456" s="171" t="e">
        <f t="shared" si="261"/>
        <v>#DIV/0!</v>
      </c>
      <c r="AD456" s="190" t="e">
        <f t="shared" si="262"/>
        <v>#DIV/0!</v>
      </c>
      <c r="AE456" s="169" t="e">
        <f t="shared" si="263"/>
        <v>#DIV/0!</v>
      </c>
      <c r="AF456" s="98" t="str">
        <f t="shared" si="249"/>
        <v>-0.0000182926829268293</v>
      </c>
      <c r="AG456" s="98" t="str">
        <f t="shared" si="250"/>
        <v>0.0334906767110819i</v>
      </c>
      <c r="AH456" s="98">
        <f t="shared" si="264"/>
        <v>3.3490676711081899E-2</v>
      </c>
      <c r="AI456" s="98">
        <f t="shared" si="265"/>
        <v>1.5707963267948966</v>
      </c>
      <c r="AJ456" s="98" t="str">
        <f t="shared" si="251"/>
        <v>1+3.2830778071838i</v>
      </c>
      <c r="AK456" s="98">
        <f t="shared" si="266"/>
        <v>3.4319964871810096</v>
      </c>
      <c r="AL456" s="98">
        <f t="shared" si="267"/>
        <v>1.2751318176986612</v>
      </c>
      <c r="AM456" s="98" t="str">
        <f t="shared" si="252"/>
        <v>1+331.590858525564i</v>
      </c>
      <c r="AN456" s="98">
        <f t="shared" si="268"/>
        <v>331.59236640447654</v>
      </c>
      <c r="AO456" s="98">
        <f t="shared" si="269"/>
        <v>1.5677805712555224</v>
      </c>
      <c r="AP456" s="168" t="str">
        <f t="shared" si="270"/>
        <v>-0.0152244281805165+0.0505291845351204i</v>
      </c>
      <c r="AQ456" s="98">
        <f t="shared" si="271"/>
        <v>-25.551776537117689</v>
      </c>
      <c r="AR456" s="169">
        <f t="shared" si="272"/>
        <v>106.76753845857226</v>
      </c>
      <c r="AS456" s="168" t="e">
        <f t="shared" si="273"/>
        <v>#DIV/0!</v>
      </c>
      <c r="AT456" s="190" t="e">
        <f t="shared" si="274"/>
        <v>#DIV/0!</v>
      </c>
      <c r="AU456" s="169" t="e">
        <f t="shared" si="275"/>
        <v>#DIV/0!</v>
      </c>
      <c r="AV456" s="225"/>
      <c r="AX456" t="e">
        <f t="shared" si="276"/>
        <v>#DIV/0!</v>
      </c>
      <c r="AY456" t="e">
        <f t="shared" si="277"/>
        <v>#DIV/0!</v>
      </c>
    </row>
    <row r="457" spans="14:51" x14ac:dyDescent="0.25">
      <c r="N457" s="170">
        <v>39</v>
      </c>
      <c r="O457" s="199">
        <f t="shared" si="278"/>
        <v>245470.89156850305</v>
      </c>
      <c r="P457" s="189" t="str">
        <f t="shared" si="244"/>
        <v>290</v>
      </c>
      <c r="Q457" s="160" t="e">
        <f t="shared" si="245"/>
        <v>#DIV/0!</v>
      </c>
      <c r="R457" s="160" t="e">
        <f t="shared" si="253"/>
        <v>#DIV/0!</v>
      </c>
      <c r="S457" s="160" t="e">
        <f t="shared" si="254"/>
        <v>#DIV/0!</v>
      </c>
      <c r="T457" s="160" t="e">
        <f t="shared" si="246"/>
        <v>#DIV/0!</v>
      </c>
      <c r="U457" s="160" t="e">
        <f t="shared" si="255"/>
        <v>#DIV/0!</v>
      </c>
      <c r="V457" s="160" t="e">
        <f t="shared" si="256"/>
        <v>#DIV/0!</v>
      </c>
      <c r="W457" s="98" t="str">
        <f t="shared" si="247"/>
        <v>1-12.2905146970966i</v>
      </c>
      <c r="X457" s="160">
        <f t="shared" si="257"/>
        <v>12.331129369183813</v>
      </c>
      <c r="Y457" s="160">
        <f t="shared" si="258"/>
        <v>-1.4896116024650641</v>
      </c>
      <c r="Z457" s="98" t="str">
        <f t="shared" si="248"/>
        <v>-0.24495782246768+1.45946823275956i</v>
      </c>
      <c r="AA457" s="160">
        <f t="shared" si="259"/>
        <v>1.4798823795229203</v>
      </c>
      <c r="AB457" s="160">
        <f t="shared" si="260"/>
        <v>1.7370868575066818</v>
      </c>
      <c r="AC457" s="171" t="e">
        <f t="shared" si="261"/>
        <v>#DIV/0!</v>
      </c>
      <c r="AD457" s="190" t="e">
        <f t="shared" si="262"/>
        <v>#DIV/0!</v>
      </c>
      <c r="AE457" s="169" t="e">
        <f t="shared" si="263"/>
        <v>#DIV/0!</v>
      </c>
      <c r="AF457" s="98" t="str">
        <f t="shared" si="249"/>
        <v>-0.0000182926829268293</v>
      </c>
      <c r="AG457" s="98" t="str">
        <f t="shared" si="250"/>
        <v>0.0342707747851904i</v>
      </c>
      <c r="AH457" s="98">
        <f t="shared" si="264"/>
        <v>3.4270774785190403E-2</v>
      </c>
      <c r="AI457" s="98">
        <f t="shared" si="265"/>
        <v>1.5707963267948966</v>
      </c>
      <c r="AJ457" s="98" t="str">
        <f t="shared" si="251"/>
        <v>1+3.35955051320364i</v>
      </c>
      <c r="AK457" s="98">
        <f t="shared" si="266"/>
        <v>3.5052217691277172</v>
      </c>
      <c r="AL457" s="98">
        <f t="shared" si="267"/>
        <v>1.2814887421237329</v>
      </c>
      <c r="AM457" s="98" t="str">
        <f t="shared" si="252"/>
        <v>1+339.314601833568i</v>
      </c>
      <c r="AN457" s="98">
        <f t="shared" si="268"/>
        <v>339.31607538911675</v>
      </c>
      <c r="AO457" s="98">
        <f t="shared" si="269"/>
        <v>1.5678492178304011</v>
      </c>
      <c r="AP457" s="168" t="str">
        <f t="shared" si="270"/>
        <v>-0.0145949851919162+0.0495663591592064i</v>
      </c>
      <c r="AQ457" s="98">
        <f t="shared" si="271"/>
        <v>-25.735151625903001</v>
      </c>
      <c r="AR457" s="169">
        <f t="shared" si="272"/>
        <v>106.40724667735057</v>
      </c>
      <c r="AS457" s="168" t="e">
        <f t="shared" si="273"/>
        <v>#DIV/0!</v>
      </c>
      <c r="AT457" s="190" t="e">
        <f t="shared" si="274"/>
        <v>#DIV/0!</v>
      </c>
      <c r="AU457" s="169" t="e">
        <f t="shared" si="275"/>
        <v>#DIV/0!</v>
      </c>
      <c r="AV457" s="225"/>
      <c r="AX457" t="e">
        <f t="shared" si="276"/>
        <v>#DIV/0!</v>
      </c>
      <c r="AY457" t="e">
        <f t="shared" si="277"/>
        <v>#DIV/0!</v>
      </c>
    </row>
    <row r="458" spans="14:51" x14ac:dyDescent="0.25">
      <c r="N458" s="170">
        <v>40</v>
      </c>
      <c r="O458" s="199">
        <f t="shared" si="278"/>
        <v>251188.64315095844</v>
      </c>
      <c r="P458" s="189" t="str">
        <f t="shared" si="244"/>
        <v>290</v>
      </c>
      <c r="Q458" s="160" t="e">
        <f t="shared" si="245"/>
        <v>#DIV/0!</v>
      </c>
      <c r="R458" s="160" t="e">
        <f t="shared" si="253"/>
        <v>#DIV/0!</v>
      </c>
      <c r="S458" s="160" t="e">
        <f t="shared" si="254"/>
        <v>#DIV/0!</v>
      </c>
      <c r="T458" s="160" t="e">
        <f t="shared" si="246"/>
        <v>#DIV/0!</v>
      </c>
      <c r="U458" s="160" t="e">
        <f t="shared" si="255"/>
        <v>#DIV/0!</v>
      </c>
      <c r="V458" s="160" t="e">
        <f t="shared" si="256"/>
        <v>#DIV/0!</v>
      </c>
      <c r="W458" s="98" t="str">
        <f t="shared" si="247"/>
        <v>1-12.5767975610626i</v>
      </c>
      <c r="X458" s="160">
        <f t="shared" si="257"/>
        <v>12.61649067260584</v>
      </c>
      <c r="Y458" s="160">
        <f t="shared" si="258"/>
        <v>-1.4914517564788381</v>
      </c>
      <c r="Z458" s="98" t="str">
        <f t="shared" si="248"/>
        <v>-0.3036308770252+1.49346361503924i</v>
      </c>
      <c r="AA458" s="160">
        <f t="shared" si="259"/>
        <v>1.5240161675419219</v>
      </c>
      <c r="AB458" s="160">
        <f t="shared" si="260"/>
        <v>1.7713691931940534</v>
      </c>
      <c r="AC458" s="171" t="e">
        <f t="shared" si="261"/>
        <v>#DIV/0!</v>
      </c>
      <c r="AD458" s="190" t="e">
        <f t="shared" si="262"/>
        <v>#DIV/0!</v>
      </c>
      <c r="AE458" s="169" t="e">
        <f t="shared" si="263"/>
        <v>#DIV/0!</v>
      </c>
      <c r="AF458" s="98" t="str">
        <f t="shared" si="249"/>
        <v>-0.0000182926829268293</v>
      </c>
      <c r="AG458" s="98" t="str">
        <f t="shared" si="250"/>
        <v>0.0350690436777173i</v>
      </c>
      <c r="AH458" s="98">
        <f t="shared" si="264"/>
        <v>3.50690436777173E-2</v>
      </c>
      <c r="AI458" s="98">
        <f t="shared" si="265"/>
        <v>1.5707963267948966</v>
      </c>
      <c r="AJ458" s="98" t="str">
        <f t="shared" si="251"/>
        <v>1+3.43780449737451i</v>
      </c>
      <c r="AK458" s="98">
        <f t="shared" si="266"/>
        <v>3.580293250862058</v>
      </c>
      <c r="AL458" s="98">
        <f t="shared" si="267"/>
        <v>1.2877242979605434</v>
      </c>
      <c r="AM458" s="98" t="str">
        <f t="shared" si="252"/>
        <v>1+347.218254234825i</v>
      </c>
      <c r="AN458" s="98">
        <f t="shared" si="268"/>
        <v>347.21969424829518</v>
      </c>
      <c r="AO458" s="98">
        <f t="shared" si="269"/>
        <v>1.5679163018453033</v>
      </c>
      <c r="AP458" s="168" t="str">
        <f t="shared" si="270"/>
        <v>-0.0139893475359324+0.0486142609722478i</v>
      </c>
      <c r="AQ458" s="98">
        <f t="shared" si="271"/>
        <v>-25.919215316068481</v>
      </c>
      <c r="AR458" s="169">
        <f t="shared" si="272"/>
        <v>106.0538192759098</v>
      </c>
      <c r="AS458" s="168" t="e">
        <f t="shared" si="273"/>
        <v>#DIV/0!</v>
      </c>
      <c r="AT458" s="190" t="e">
        <f t="shared" si="274"/>
        <v>#DIV/0!</v>
      </c>
      <c r="AU458" s="169" t="e">
        <f t="shared" si="275"/>
        <v>#DIV/0!</v>
      </c>
      <c r="AV458" s="225"/>
      <c r="AX458" t="e">
        <f t="shared" si="276"/>
        <v>#DIV/0!</v>
      </c>
      <c r="AY458" t="e">
        <f t="shared" si="277"/>
        <v>#DIV/0!</v>
      </c>
    </row>
    <row r="459" spans="14:51" x14ac:dyDescent="0.25">
      <c r="N459" s="170">
        <v>41</v>
      </c>
      <c r="O459" s="199">
        <f t="shared" si="278"/>
        <v>257039.57827688678</v>
      </c>
      <c r="P459" s="189" t="str">
        <f t="shared" si="244"/>
        <v>290</v>
      </c>
      <c r="Q459" s="160" t="e">
        <f t="shared" si="245"/>
        <v>#DIV/0!</v>
      </c>
      <c r="R459" s="160" t="e">
        <f t="shared" si="253"/>
        <v>#DIV/0!</v>
      </c>
      <c r="S459" s="160" t="e">
        <f t="shared" si="254"/>
        <v>#DIV/0!</v>
      </c>
      <c r="T459" s="160" t="e">
        <f t="shared" si="246"/>
        <v>#DIV/0!</v>
      </c>
      <c r="U459" s="160" t="e">
        <f t="shared" si="255"/>
        <v>#DIV/0!</v>
      </c>
      <c r="V459" s="160" t="e">
        <f t="shared" si="256"/>
        <v>#DIV/0!</v>
      </c>
      <c r="W459" s="98" t="str">
        <f t="shared" si="247"/>
        <v>1-12.869748809569i</v>
      </c>
      <c r="X459" s="160">
        <f t="shared" si="257"/>
        <v>12.908541142259363</v>
      </c>
      <c r="Y459" s="160">
        <f t="shared" si="258"/>
        <v>-1.4932505439467678</v>
      </c>
      <c r="Z459" s="98" t="str">
        <f t="shared" si="248"/>
        <v>-0.36506910745371+1.52825085149594i</v>
      </c>
      <c r="AA459" s="160">
        <f t="shared" si="259"/>
        <v>1.5712498586523771</v>
      </c>
      <c r="AB459" s="160">
        <f t="shared" si="260"/>
        <v>1.8052823739508774</v>
      </c>
      <c r="AC459" s="171" t="e">
        <f t="shared" si="261"/>
        <v>#DIV/0!</v>
      </c>
      <c r="AD459" s="190" t="e">
        <f t="shared" si="262"/>
        <v>#DIV/0!</v>
      </c>
      <c r="AE459" s="169" t="e">
        <f t="shared" si="263"/>
        <v>#DIV/0!</v>
      </c>
      <c r="AF459" s="98" t="str">
        <f t="shared" si="249"/>
        <v>-0.0000182926829268293</v>
      </c>
      <c r="AG459" s="98" t="str">
        <f t="shared" si="250"/>
        <v>0.0358859066413958i</v>
      </c>
      <c r="AH459" s="98">
        <f t="shared" si="264"/>
        <v>3.58859066413958E-2</v>
      </c>
      <c r="AI459" s="98">
        <f t="shared" si="265"/>
        <v>1.5707963267948966</v>
      </c>
      <c r="AJ459" s="98" t="str">
        <f t="shared" si="251"/>
        <v>1+3.51788125099459i</v>
      </c>
      <c r="AK459" s="98">
        <f t="shared" si="266"/>
        <v>3.6572514947839259</v>
      </c>
      <c r="AL459" s="98">
        <f t="shared" si="267"/>
        <v>1.293839851031505</v>
      </c>
      <c r="AM459" s="98" t="str">
        <f t="shared" si="252"/>
        <v>1+355.306006350453i</v>
      </c>
      <c r="AN459" s="98">
        <f t="shared" si="268"/>
        <v>355.30741358534601</v>
      </c>
      <c r="AO459" s="98">
        <f t="shared" si="269"/>
        <v>1.5679818588666445</v>
      </c>
      <c r="AP459" s="168" t="str">
        <f t="shared" si="270"/>
        <v>-0.0134067961790358+0.0476732625117498i</v>
      </c>
      <c r="AQ459" s="98">
        <f t="shared" si="271"/>
        <v>-26.103941462430697</v>
      </c>
      <c r="AR459" s="169">
        <f t="shared" si="272"/>
        <v>105.70718003619581</v>
      </c>
      <c r="AS459" s="168" t="e">
        <f t="shared" si="273"/>
        <v>#DIV/0!</v>
      </c>
      <c r="AT459" s="190" t="e">
        <f t="shared" si="274"/>
        <v>#DIV/0!</v>
      </c>
      <c r="AU459" s="169" t="e">
        <f t="shared" si="275"/>
        <v>#DIV/0!</v>
      </c>
      <c r="AV459" s="225"/>
      <c r="AX459" t="e">
        <f t="shared" si="276"/>
        <v>#DIV/0!</v>
      </c>
      <c r="AY459" t="e">
        <f t="shared" si="277"/>
        <v>#DIV/0!</v>
      </c>
    </row>
    <row r="460" spans="14:51" x14ac:dyDescent="0.25">
      <c r="N460" s="170">
        <v>42</v>
      </c>
      <c r="O460" s="199">
        <f t="shared" si="278"/>
        <v>263026.79918953858</v>
      </c>
      <c r="P460" s="189" t="str">
        <f t="shared" si="244"/>
        <v>290</v>
      </c>
      <c r="Q460" s="160" t="e">
        <f t="shared" si="245"/>
        <v>#DIV/0!</v>
      </c>
      <c r="R460" s="160" t="e">
        <f t="shared" si="253"/>
        <v>#DIV/0!</v>
      </c>
      <c r="S460" s="160" t="e">
        <f t="shared" si="254"/>
        <v>#DIV/0!</v>
      </c>
      <c r="T460" s="160" t="e">
        <f t="shared" si="246"/>
        <v>#DIV/0!</v>
      </c>
      <c r="U460" s="160" t="e">
        <f t="shared" si="255"/>
        <v>#DIV/0!</v>
      </c>
      <c r="V460" s="160" t="e">
        <f t="shared" si="256"/>
        <v>#DIV/0!</v>
      </c>
      <c r="W460" s="98" t="str">
        <f t="shared" si="247"/>
        <v>1-13.1695237692455i</v>
      </c>
      <c r="X460" s="160">
        <f t="shared" si="257"/>
        <v>13.207435644693568</v>
      </c>
      <c r="Y460" s="160">
        <f t="shared" si="258"/>
        <v>-1.4950088720220058</v>
      </c>
      <c r="Z460" s="98" t="str">
        <f t="shared" si="248"/>
        <v>-0.42940283247714+1.56384838678289i</v>
      </c>
      <c r="AA460" s="160">
        <f t="shared" si="259"/>
        <v>1.6217301160744468</v>
      </c>
      <c r="AB460" s="160">
        <f t="shared" si="260"/>
        <v>1.8387728233657641</v>
      </c>
      <c r="AC460" s="171" t="e">
        <f t="shared" si="261"/>
        <v>#DIV/0!</v>
      </c>
      <c r="AD460" s="190" t="e">
        <f t="shared" si="262"/>
        <v>#DIV/0!</v>
      </c>
      <c r="AE460" s="169" t="e">
        <f t="shared" si="263"/>
        <v>#DIV/0!</v>
      </c>
      <c r="AF460" s="98" t="str">
        <f t="shared" si="249"/>
        <v>-0.0000182926829268293</v>
      </c>
      <c r="AG460" s="98" t="str">
        <f t="shared" si="250"/>
        <v>0.0367217967877817i</v>
      </c>
      <c r="AH460" s="98">
        <f t="shared" si="264"/>
        <v>3.6721796787781702E-2</v>
      </c>
      <c r="AI460" s="98">
        <f t="shared" si="265"/>
        <v>1.5707963267948966</v>
      </c>
      <c r="AJ460" s="98" t="str">
        <f t="shared" si="251"/>
        <v>1+3.59982323181861i</v>
      </c>
      <c r="AK460" s="98">
        <f t="shared" si="266"/>
        <v>3.7361380194448093</v>
      </c>
      <c r="AL460" s="98">
        <f t="shared" si="267"/>
        <v>1.2998368134020555</v>
      </c>
      <c r="AM460" s="98" t="str">
        <f t="shared" si="252"/>
        <v>1+363.582146413679i</v>
      </c>
      <c r="AN460" s="98">
        <f t="shared" si="268"/>
        <v>363.58352161611776</v>
      </c>
      <c r="AO460" s="98">
        <f t="shared" si="269"/>
        <v>1.5680459236513702</v>
      </c>
      <c r="AP460" s="168" t="str">
        <f t="shared" si="270"/>
        <v>-0.0128466187642952+0.0467436990492334i</v>
      </c>
      <c r="AQ460" s="98">
        <f t="shared" si="271"/>
        <v>-26.289304717999208</v>
      </c>
      <c r="AR460" s="169">
        <f t="shared" si="272"/>
        <v>105.36725004424467</v>
      </c>
      <c r="AS460" s="168" t="e">
        <f t="shared" si="273"/>
        <v>#DIV/0!</v>
      </c>
      <c r="AT460" s="190" t="e">
        <f t="shared" si="274"/>
        <v>#DIV/0!</v>
      </c>
      <c r="AU460" s="169" t="e">
        <f t="shared" si="275"/>
        <v>#DIV/0!</v>
      </c>
      <c r="AV460" s="225"/>
      <c r="AX460" t="e">
        <f t="shared" si="276"/>
        <v>#DIV/0!</v>
      </c>
      <c r="AY460" t="e">
        <f t="shared" si="277"/>
        <v>#DIV/0!</v>
      </c>
    </row>
    <row r="461" spans="14:51" x14ac:dyDescent="0.25">
      <c r="N461" s="170">
        <v>43</v>
      </c>
      <c r="O461" s="199">
        <f t="shared" si="278"/>
        <v>269153.48039269145</v>
      </c>
      <c r="P461" s="189" t="str">
        <f t="shared" si="244"/>
        <v>290</v>
      </c>
      <c r="Q461" s="160" t="e">
        <f t="shared" si="245"/>
        <v>#DIV/0!</v>
      </c>
      <c r="R461" s="160" t="e">
        <f t="shared" si="253"/>
        <v>#DIV/0!</v>
      </c>
      <c r="S461" s="160" t="e">
        <f t="shared" si="254"/>
        <v>#DIV/0!</v>
      </c>
      <c r="T461" s="160" t="e">
        <f t="shared" si="246"/>
        <v>#DIV/0!</v>
      </c>
      <c r="U461" s="160" t="e">
        <f t="shared" si="255"/>
        <v>#DIV/0!</v>
      </c>
      <c r="V461" s="160" t="e">
        <f t="shared" si="256"/>
        <v>#DIV/0!</v>
      </c>
      <c r="W461" s="98" t="str">
        <f t="shared" si="247"/>
        <v>1-13.4762813847438i</v>
      </c>
      <c r="X461" s="160">
        <f t="shared" si="257"/>
        <v>13.513332674096061</v>
      </c>
      <c r="Y461" s="160">
        <f t="shared" si="258"/>
        <v>-1.4967276294790295</v>
      </c>
      <c r="Z461" s="98" t="str">
        <f t="shared" si="248"/>
        <v>-0.49676851255163+1.60027509518449i</v>
      </c>
      <c r="AA461" s="160">
        <f t="shared" si="259"/>
        <v>1.6756071542370805</v>
      </c>
      <c r="AB461" s="160">
        <f t="shared" si="260"/>
        <v>1.8717914646566001</v>
      </c>
      <c r="AC461" s="171" t="e">
        <f t="shared" si="261"/>
        <v>#DIV/0!</v>
      </c>
      <c r="AD461" s="190" t="e">
        <f t="shared" si="262"/>
        <v>#DIV/0!</v>
      </c>
      <c r="AE461" s="169" t="e">
        <f t="shared" si="263"/>
        <v>#DIV/0!</v>
      </c>
      <c r="AF461" s="98" t="str">
        <f t="shared" si="249"/>
        <v>-0.0000182926829268293</v>
      </c>
      <c r="AG461" s="98" t="str">
        <f t="shared" si="250"/>
        <v>0.0375771573168949i</v>
      </c>
      <c r="AH461" s="98">
        <f t="shared" si="264"/>
        <v>3.7577157316894899E-2</v>
      </c>
      <c r="AI461" s="98">
        <f t="shared" si="265"/>
        <v>1.5707963267948966</v>
      </c>
      <c r="AJ461" s="98" t="str">
        <f t="shared" si="251"/>
        <v>1+3.68367388656945i</v>
      </c>
      <c r="AK461" s="98">
        <f t="shared" si="266"/>
        <v>3.8169953238894174</v>
      </c>
      <c r="AL461" s="98">
        <f t="shared" si="267"/>
        <v>1.3057166386834573</v>
      </c>
      <c r="AM461" s="98" t="str">
        <f t="shared" si="252"/>
        <v>1+372.051062543514i</v>
      </c>
      <c r="AN461" s="98">
        <f t="shared" si="268"/>
        <v>372.05240644263779</v>
      </c>
      <c r="AO461" s="98">
        <f t="shared" si="269"/>
        <v>1.5681085301653725</v>
      </c>
      <c r="AP461" s="168" t="str">
        <f t="shared" si="270"/>
        <v>-0.0123081109728612+0.0458258702502057i</v>
      </c>
      <c r="AQ461" s="98">
        <f t="shared" si="271"/>
        <v>-26.475280525764337</v>
      </c>
      <c r="AR461" s="169">
        <f t="shared" si="272"/>
        <v>105.03394796036851</v>
      </c>
      <c r="AS461" s="168" t="e">
        <f t="shared" si="273"/>
        <v>#DIV/0!</v>
      </c>
      <c r="AT461" s="190" t="e">
        <f t="shared" si="274"/>
        <v>#DIV/0!</v>
      </c>
      <c r="AU461" s="169" t="e">
        <f t="shared" si="275"/>
        <v>#DIV/0!</v>
      </c>
      <c r="AV461" s="225"/>
      <c r="AX461" t="e">
        <f t="shared" si="276"/>
        <v>#DIV/0!</v>
      </c>
      <c r="AY461" t="e">
        <f t="shared" si="277"/>
        <v>#DIV/0!</v>
      </c>
    </row>
    <row r="462" spans="14:51" x14ac:dyDescent="0.25">
      <c r="N462" s="170">
        <v>44</v>
      </c>
      <c r="O462" s="199">
        <f t="shared" si="278"/>
        <v>275422.87033381703</v>
      </c>
      <c r="P462" s="189" t="str">
        <f t="shared" si="244"/>
        <v>290</v>
      </c>
      <c r="Q462" s="160" t="e">
        <f t="shared" si="245"/>
        <v>#DIV/0!</v>
      </c>
      <c r="R462" s="160" t="e">
        <f t="shared" si="253"/>
        <v>#DIV/0!</v>
      </c>
      <c r="S462" s="160" t="e">
        <f t="shared" si="254"/>
        <v>#DIV/0!</v>
      </c>
      <c r="T462" s="160" t="e">
        <f t="shared" si="246"/>
        <v>#DIV/0!</v>
      </c>
      <c r="U462" s="160" t="e">
        <f t="shared" si="255"/>
        <v>#DIV/0!</v>
      </c>
      <c r="V462" s="160" t="e">
        <f t="shared" si="256"/>
        <v>#DIV/0!</v>
      </c>
      <c r="W462" s="98" t="str">
        <f t="shared" si="247"/>
        <v>1-13.7901843030119i</v>
      </c>
      <c r="X462" s="160">
        <f t="shared" si="257"/>
        <v>13.826394436404447</v>
      </c>
      <c r="Y462" s="160">
        <f t="shared" si="258"/>
        <v>-1.4984076869836311</v>
      </c>
      <c r="Z462" s="98" t="str">
        <f t="shared" si="248"/>
        <v>-0.56730903931651+1.63755029062371i</v>
      </c>
      <c r="AA462" s="160">
        <f t="shared" si="259"/>
        <v>1.7330350545825723</v>
      </c>
      <c r="AB462" s="160">
        <f t="shared" si="260"/>
        <v>1.9042940229786698</v>
      </c>
      <c r="AC462" s="171" t="e">
        <f t="shared" si="261"/>
        <v>#DIV/0!</v>
      </c>
      <c r="AD462" s="190" t="e">
        <f t="shared" si="262"/>
        <v>#DIV/0!</v>
      </c>
      <c r="AE462" s="169" t="e">
        <f t="shared" si="263"/>
        <v>#DIV/0!</v>
      </c>
      <c r="AF462" s="98" t="str">
        <f t="shared" si="249"/>
        <v>-0.0000182926829268293</v>
      </c>
      <c r="AG462" s="98" t="str">
        <f t="shared" si="250"/>
        <v>0.0384524417522101i</v>
      </c>
      <c r="AH462" s="98">
        <f t="shared" si="264"/>
        <v>3.8452441752210097E-2</v>
      </c>
      <c r="AI462" s="98">
        <f t="shared" si="265"/>
        <v>1.5707963267948966</v>
      </c>
      <c r="AJ462" s="98" t="str">
        <f t="shared" si="251"/>
        <v>1+3.76947767397413i</v>
      </c>
      <c r="AK462" s="98">
        <f t="shared" si="266"/>
        <v>3.8998669124201424</v>
      </c>
      <c r="AL462" s="98">
        <f t="shared" si="267"/>
        <v>1.3114808175491481</v>
      </c>
      <c r="AM462" s="98" t="str">
        <f t="shared" si="252"/>
        <v>1+380.717245071387i</v>
      </c>
      <c r="AN462" s="98">
        <f t="shared" si="268"/>
        <v>380.71855837973879</v>
      </c>
      <c r="AO462" s="98">
        <f t="shared" si="269"/>
        <v>1.5681697116014899</v>
      </c>
      <c r="AP462" s="168" t="str">
        <f t="shared" si="270"/>
        <v>-0.0117905777418255+0.044920041832353i</v>
      </c>
      <c r="AQ462" s="98">
        <f t="shared" si="271"/>
        <v>-26.661845109047164</v>
      </c>
      <c r="AR462" s="169">
        <f t="shared" si="272"/>
        <v>104.70719027707989</v>
      </c>
      <c r="AS462" s="168" t="e">
        <f t="shared" si="273"/>
        <v>#DIV/0!</v>
      </c>
      <c r="AT462" s="190" t="e">
        <f t="shared" si="274"/>
        <v>#DIV/0!</v>
      </c>
      <c r="AU462" s="169" t="e">
        <f t="shared" si="275"/>
        <v>#DIV/0!</v>
      </c>
      <c r="AV462" s="225"/>
      <c r="AX462" t="e">
        <f t="shared" si="276"/>
        <v>#DIV/0!</v>
      </c>
      <c r="AY462" t="e">
        <f t="shared" si="277"/>
        <v>#DIV/0!</v>
      </c>
    </row>
    <row r="463" spans="14:51" x14ac:dyDescent="0.25">
      <c r="N463" s="170">
        <v>45</v>
      </c>
      <c r="O463" s="199">
        <f t="shared" si="278"/>
        <v>281838.29312644573</v>
      </c>
      <c r="P463" s="189" t="str">
        <f t="shared" si="244"/>
        <v>290</v>
      </c>
      <c r="Q463" s="160" t="e">
        <f t="shared" si="245"/>
        <v>#DIV/0!</v>
      </c>
      <c r="R463" s="160" t="e">
        <f t="shared" si="253"/>
        <v>#DIV/0!</v>
      </c>
      <c r="S463" s="160" t="e">
        <f t="shared" si="254"/>
        <v>#DIV/0!</v>
      </c>
      <c r="T463" s="160" t="e">
        <f t="shared" si="246"/>
        <v>#DIV/0!</v>
      </c>
      <c r="U463" s="160" t="e">
        <f t="shared" si="255"/>
        <v>#DIV/0!</v>
      </c>
      <c r="V463" s="160" t="e">
        <f t="shared" si="256"/>
        <v>#DIV/0!</v>
      </c>
      <c r="W463" s="98" t="str">
        <f t="shared" si="247"/>
        <v>1-14.1113989595322i</v>
      </c>
      <c r="X463" s="160">
        <f t="shared" si="257"/>
        <v>14.146786935381703</v>
      </c>
      <c r="Y463" s="160">
        <f t="shared" si="258"/>
        <v>-1.5000498973663281</v>
      </c>
      <c r="Z463" s="98" t="str">
        <f t="shared" si="248"/>
        <v>-0.64117403868654+1.67569373690256i</v>
      </c>
      <c r="AA463" s="160">
        <f t="shared" si="259"/>
        <v>1.7941721343784367</v>
      </c>
      <c r="AB463" s="160">
        <f t="shared" si="260"/>
        <v>1.9362412158015323</v>
      </c>
      <c r="AC463" s="171" t="e">
        <f t="shared" si="261"/>
        <v>#DIV/0!</v>
      </c>
      <c r="AD463" s="190" t="e">
        <f t="shared" si="262"/>
        <v>#DIV/0!</v>
      </c>
      <c r="AE463" s="169" t="e">
        <f t="shared" si="263"/>
        <v>#DIV/0!</v>
      </c>
      <c r="AF463" s="98" t="str">
        <f t="shared" si="249"/>
        <v>-0.0000182926829268293</v>
      </c>
      <c r="AG463" s="98" t="str">
        <f t="shared" si="250"/>
        <v>0.0393481141811204i</v>
      </c>
      <c r="AH463" s="98">
        <f t="shared" si="264"/>
        <v>3.93481141811204E-2</v>
      </c>
      <c r="AI463" s="98">
        <f t="shared" si="265"/>
        <v>1.5707963267948966</v>
      </c>
      <c r="AJ463" s="98" t="str">
        <f t="shared" si="251"/>
        <v>1+3.85728008833649i</v>
      </c>
      <c r="AK463" s="98">
        <f t="shared" si="266"/>
        <v>3.9847973197989837</v>
      </c>
      <c r="AL463" s="98">
        <f t="shared" si="267"/>
        <v>1.3171308734638656</v>
      </c>
      <c r="AM463" s="98" t="str">
        <f t="shared" si="252"/>
        <v>1+389.585288921985i</v>
      </c>
      <c r="AN463" s="98">
        <f t="shared" si="268"/>
        <v>389.58657233588849</v>
      </c>
      <c r="AO463" s="98">
        <f t="shared" si="269"/>
        <v>1.5682295003970959</v>
      </c>
      <c r="AP463" s="168" t="str">
        <f t="shared" si="270"/>
        <v>-0.0112933343458588+0.0440264472135454i</v>
      </c>
      <c r="AQ463" s="98">
        <f t="shared" si="271"/>
        <v>-26.848975460567321</v>
      </c>
      <c r="AR463" s="169">
        <f t="shared" si="272"/>
        <v>104.38689156480407</v>
      </c>
      <c r="AS463" s="168" t="e">
        <f t="shared" si="273"/>
        <v>#DIV/0!</v>
      </c>
      <c r="AT463" s="190" t="e">
        <f t="shared" si="274"/>
        <v>#DIV/0!</v>
      </c>
      <c r="AU463" s="169" t="e">
        <f t="shared" si="275"/>
        <v>#DIV/0!</v>
      </c>
      <c r="AV463" s="225"/>
      <c r="AX463" t="e">
        <f t="shared" si="276"/>
        <v>#DIV/0!</v>
      </c>
      <c r="AY463" t="e">
        <f t="shared" si="277"/>
        <v>#DIV/0!</v>
      </c>
    </row>
    <row r="464" spans="14:51" x14ac:dyDescent="0.25">
      <c r="N464" s="170">
        <v>46</v>
      </c>
      <c r="O464" s="199">
        <f t="shared" si="278"/>
        <v>288403.1503126609</v>
      </c>
      <c r="P464" s="189" t="str">
        <f t="shared" si="244"/>
        <v>290</v>
      </c>
      <c r="Q464" s="160" t="e">
        <f t="shared" si="245"/>
        <v>#DIV/0!</v>
      </c>
      <c r="R464" s="160" t="e">
        <f t="shared" si="253"/>
        <v>#DIV/0!</v>
      </c>
      <c r="S464" s="160" t="e">
        <f t="shared" si="254"/>
        <v>#DIV/0!</v>
      </c>
      <c r="T464" s="160" t="e">
        <f t="shared" si="246"/>
        <v>#DIV/0!</v>
      </c>
      <c r="U464" s="160" t="e">
        <f t="shared" si="255"/>
        <v>#DIV/0!</v>
      </c>
      <c r="V464" s="160" t="e">
        <f t="shared" si="256"/>
        <v>#DIV/0!</v>
      </c>
      <c r="W464" s="98" t="str">
        <f t="shared" si="247"/>
        <v>1-14.4400956665672i</v>
      </c>
      <c r="X464" s="160">
        <f t="shared" si="257"/>
        <v>14.474680060699541</v>
      </c>
      <c r="Y464" s="160">
        <f t="shared" si="258"/>
        <v>-1.5016550958984998</v>
      </c>
      <c r="Z464" s="98" t="str">
        <f t="shared" si="248"/>
        <v>-0.71852018822867+1.71472565818113i</v>
      </c>
      <c r="AA464" s="160">
        <f t="shared" si="259"/>
        <v>1.8591813638579946</v>
      </c>
      <c r="AB464" s="160">
        <f t="shared" si="260"/>
        <v>1.9675988363363193</v>
      </c>
      <c r="AC464" s="171" t="e">
        <f t="shared" si="261"/>
        <v>#DIV/0!</v>
      </c>
      <c r="AD464" s="190" t="e">
        <f t="shared" si="262"/>
        <v>#DIV/0!</v>
      </c>
      <c r="AE464" s="169" t="e">
        <f t="shared" si="263"/>
        <v>#DIV/0!</v>
      </c>
      <c r="AF464" s="98" t="str">
        <f t="shared" si="249"/>
        <v>-0.0000182926829268293</v>
      </c>
      <c r="AG464" s="98" t="str">
        <f t="shared" si="250"/>
        <v>0.0402646495010035i</v>
      </c>
      <c r="AH464" s="98">
        <f t="shared" si="264"/>
        <v>4.0264649501003502E-2</v>
      </c>
      <c r="AI464" s="98">
        <f t="shared" si="265"/>
        <v>1.5707963267948966</v>
      </c>
      <c r="AJ464" s="98" t="str">
        <f t="shared" si="251"/>
        <v>1+3.94712768365882i</v>
      </c>
      <c r="AK464" s="98">
        <f t="shared" si="266"/>
        <v>4.0718321369017465</v>
      </c>
      <c r="AL464" s="98">
        <f t="shared" si="267"/>
        <v>1.3226683586237229</v>
      </c>
      <c r="AM464" s="98" t="str">
        <f t="shared" si="252"/>
        <v>1+398.65989604954i</v>
      </c>
      <c r="AN464" s="98">
        <f t="shared" si="268"/>
        <v>398.66115024946947</v>
      </c>
      <c r="AO464" s="98">
        <f t="shared" si="269"/>
        <v>1.5682879282512909</v>
      </c>
      <c r="AP464" s="168" t="str">
        <f t="shared" si="270"/>
        <v>-0.0108157073501515+0.043145289142218i</v>
      </c>
      <c r="AQ464" s="98">
        <f t="shared" si="271"/>
        <v>-27.036649330376918</v>
      </c>
      <c r="AR464" s="169">
        <f t="shared" si="272"/>
        <v>104.07296470547928</v>
      </c>
      <c r="AS464" s="168" t="e">
        <f t="shared" si="273"/>
        <v>#DIV/0!</v>
      </c>
      <c r="AT464" s="190" t="e">
        <f t="shared" si="274"/>
        <v>#DIV/0!</v>
      </c>
      <c r="AU464" s="169" t="e">
        <f t="shared" si="275"/>
        <v>#DIV/0!</v>
      </c>
      <c r="AV464" s="225"/>
      <c r="AX464" t="e">
        <f t="shared" si="276"/>
        <v>#DIV/0!</v>
      </c>
      <c r="AY464" t="e">
        <f t="shared" si="277"/>
        <v>#DIV/0!</v>
      </c>
    </row>
    <row r="465" spans="14:51" x14ac:dyDescent="0.25">
      <c r="N465" s="170">
        <v>47</v>
      </c>
      <c r="O465" s="199">
        <f t="shared" si="278"/>
        <v>295120.92266663886</v>
      </c>
      <c r="P465" s="189" t="str">
        <f t="shared" si="244"/>
        <v>290</v>
      </c>
      <c r="Q465" s="160" t="e">
        <f t="shared" si="245"/>
        <v>#DIV/0!</v>
      </c>
      <c r="R465" s="160" t="e">
        <f t="shared" si="253"/>
        <v>#DIV/0!</v>
      </c>
      <c r="S465" s="160" t="e">
        <f t="shared" si="254"/>
        <v>#DIV/0!</v>
      </c>
      <c r="T465" s="160" t="e">
        <f t="shared" si="246"/>
        <v>#DIV/0!</v>
      </c>
      <c r="U465" s="160" t="e">
        <f t="shared" si="255"/>
        <v>#DIV/0!</v>
      </c>
      <c r="V465" s="160" t="e">
        <f t="shared" si="256"/>
        <v>#DIV/0!</v>
      </c>
      <c r="W465" s="98" t="str">
        <f t="shared" si="247"/>
        <v>1-14.7764487034619i</v>
      </c>
      <c r="X465" s="160">
        <f t="shared" si="257"/>
        <v>14.810247678078881</v>
      </c>
      <c r="Y465" s="160">
        <f t="shared" si="258"/>
        <v>-1.5032241005706364</v>
      </c>
      <c r="Z465" s="98" t="str">
        <f t="shared" si="248"/>
        <v>-0.79951154949604+1.75466674970076i</v>
      </c>
      <c r="AA465" s="160">
        <f t="shared" si="259"/>
        <v>1.9282308265046972</v>
      </c>
      <c r="AB465" s="160">
        <f t="shared" si="260"/>
        <v>1.9983377384904994</v>
      </c>
      <c r="AC465" s="171" t="e">
        <f t="shared" si="261"/>
        <v>#DIV/0!</v>
      </c>
      <c r="AD465" s="190" t="e">
        <f t="shared" si="262"/>
        <v>#DIV/0!</v>
      </c>
      <c r="AE465" s="169" t="e">
        <f t="shared" si="263"/>
        <v>#DIV/0!</v>
      </c>
      <c r="AF465" s="98" t="str">
        <f t="shared" si="249"/>
        <v>-0.0000182926829268293</v>
      </c>
      <c r="AG465" s="98" t="str">
        <f t="shared" si="250"/>
        <v>0.0412025336710177i</v>
      </c>
      <c r="AH465" s="98">
        <f t="shared" si="264"/>
        <v>4.1202533671017699E-2</v>
      </c>
      <c r="AI465" s="98">
        <f t="shared" si="265"/>
        <v>1.5707963267948966</v>
      </c>
      <c r="AJ465" s="98" t="str">
        <f t="shared" si="251"/>
        <v>1+4.03906809832543i</v>
      </c>
      <c r="AK465" s="98">
        <f t="shared" si="266"/>
        <v>4.1610180368402885</v>
      </c>
      <c r="AL465" s="98">
        <f t="shared" si="267"/>
        <v>1.3280948501045473</v>
      </c>
      <c r="AM465" s="98" t="str">
        <f t="shared" si="252"/>
        <v>1+407.945877930868i</v>
      </c>
      <c r="AN465" s="98">
        <f t="shared" si="268"/>
        <v>407.94710358180834</v>
      </c>
      <c r="AO465" s="98">
        <f t="shared" si="269"/>
        <v>1.5683450261416998</v>
      </c>
      <c r="AP465" s="168" t="str">
        <f t="shared" si="270"/>
        <v>-0.0103570354422364+0.0422767413036248i</v>
      </c>
      <c r="AQ465" s="98">
        <f t="shared" si="271"/>
        <v>-27.224845212799092</v>
      </c>
      <c r="AR465" s="169">
        <f t="shared" si="272"/>
        <v>103.7653211142039</v>
      </c>
      <c r="AS465" s="168" t="e">
        <f t="shared" si="273"/>
        <v>#DIV/0!</v>
      </c>
      <c r="AT465" s="190" t="e">
        <f t="shared" si="274"/>
        <v>#DIV/0!</v>
      </c>
      <c r="AU465" s="169" t="e">
        <f t="shared" si="275"/>
        <v>#DIV/0!</v>
      </c>
      <c r="AV465" s="225"/>
      <c r="AX465" t="e">
        <f t="shared" si="276"/>
        <v>#DIV/0!</v>
      </c>
      <c r="AY465" t="e">
        <f t="shared" si="277"/>
        <v>#DIV/0!</v>
      </c>
    </row>
    <row r="466" spans="14:51" x14ac:dyDescent="0.25">
      <c r="N466" s="170">
        <v>48</v>
      </c>
      <c r="O466" s="199">
        <f t="shared" si="278"/>
        <v>301995.17204020242</v>
      </c>
      <c r="P466" s="189" t="str">
        <f t="shared" si="244"/>
        <v>290</v>
      </c>
      <c r="Q466" s="160" t="e">
        <f t="shared" si="245"/>
        <v>#DIV/0!</v>
      </c>
      <c r="R466" s="160" t="e">
        <f t="shared" si="253"/>
        <v>#DIV/0!</v>
      </c>
      <c r="S466" s="160" t="e">
        <f t="shared" si="254"/>
        <v>#DIV/0!</v>
      </c>
      <c r="T466" s="160" t="e">
        <f t="shared" si="246"/>
        <v>#DIV/0!</v>
      </c>
      <c r="U466" s="160" t="e">
        <f t="shared" si="255"/>
        <v>#DIV/0!</v>
      </c>
      <c r="V466" s="160" t="e">
        <f t="shared" si="256"/>
        <v>#DIV/0!</v>
      </c>
      <c r="W466" s="98" t="str">
        <f t="shared" si="247"/>
        <v>1-15.1206364090486i</v>
      </c>
      <c r="X466" s="160">
        <f t="shared" si="257"/>
        <v>15.153667721533495</v>
      </c>
      <c r="Y466" s="160">
        <f t="shared" si="258"/>
        <v>-1.5047577123721114</v>
      </c>
      <c r="Z466" s="98" t="str">
        <f t="shared" si="248"/>
        <v>-0.88431991602461+1.79553818875683i</v>
      </c>
      <c r="AA466" s="160">
        <f t="shared" si="259"/>
        <v>2.0014942171192827</v>
      </c>
      <c r="AB466" s="160">
        <f t="shared" si="260"/>
        <v>2.0284337344495436</v>
      </c>
      <c r="AC466" s="171" t="e">
        <f t="shared" si="261"/>
        <v>#DIV/0!</v>
      </c>
      <c r="AD466" s="190" t="e">
        <f t="shared" si="262"/>
        <v>#DIV/0!</v>
      </c>
      <c r="AE466" s="169" t="e">
        <f t="shared" si="263"/>
        <v>#DIV/0!</v>
      </c>
      <c r="AF466" s="98" t="str">
        <f t="shared" si="249"/>
        <v>-0.0000182926829268293</v>
      </c>
      <c r="AG466" s="98" t="str">
        <f t="shared" si="250"/>
        <v>0.0421622639697643i</v>
      </c>
      <c r="AH466" s="98">
        <f t="shared" si="264"/>
        <v>4.2162263969764302E-2</v>
      </c>
      <c r="AI466" s="98">
        <f t="shared" si="265"/>
        <v>1.5707963267948966</v>
      </c>
      <c r="AJ466" s="98" t="str">
        <f t="shared" si="251"/>
        <v>1+4.13315008036116i</v>
      </c>
      <c r="AK466" s="98">
        <f t="shared" si="266"/>
        <v>4.2524028015687154</v>
      </c>
      <c r="AL466" s="98">
        <f t="shared" si="267"/>
        <v>1.3334119462150018</v>
      </c>
      <c r="AM466" s="98" t="str">
        <f t="shared" si="252"/>
        <v>1+417.448158116477i</v>
      </c>
      <c r="AN466" s="98">
        <f t="shared" si="268"/>
        <v>417.44935586827677</v>
      </c>
      <c r="AO466" s="98">
        <f t="shared" si="269"/>
        <v>1.56840082434089</v>
      </c>
      <c r="AP466" s="168" t="str">
        <f t="shared" si="270"/>
        <v>-0.0099166701502419+0.0414209498963227i</v>
      </c>
      <c r="AQ466" s="98">
        <f t="shared" si="271"/>
        <v>-27.413542332503255</v>
      </c>
      <c r="AR466" s="169">
        <f t="shared" si="272"/>
        <v>103.46387094912745</v>
      </c>
      <c r="AS466" s="168" t="e">
        <f t="shared" si="273"/>
        <v>#DIV/0!</v>
      </c>
      <c r="AT466" s="190" t="e">
        <f t="shared" si="274"/>
        <v>#DIV/0!</v>
      </c>
      <c r="AU466" s="169" t="e">
        <f t="shared" si="275"/>
        <v>#DIV/0!</v>
      </c>
      <c r="AV466" s="225"/>
      <c r="AX466" t="e">
        <f t="shared" si="276"/>
        <v>#DIV/0!</v>
      </c>
      <c r="AY466" t="e">
        <f t="shared" si="277"/>
        <v>#DIV/0!</v>
      </c>
    </row>
    <row r="467" spans="14:51" x14ac:dyDescent="0.25">
      <c r="N467" s="170">
        <v>49</v>
      </c>
      <c r="O467" s="199">
        <f t="shared" si="278"/>
        <v>309029.54325135931</v>
      </c>
      <c r="P467" s="189" t="str">
        <f t="shared" ref="P467:P530" si="279">COMPLEX(Adc,0)</f>
        <v>290</v>
      </c>
      <c r="Q467" s="160" t="e">
        <f t="shared" ref="Q467:Q530" si="280">IMSUM(COMPLEX(1,0),IMDIV(COMPLEX(0,2*PI()*O467),COMPLEX(wp_lf,0)))</f>
        <v>#DIV/0!</v>
      </c>
      <c r="R467" s="160" t="e">
        <f t="shared" si="253"/>
        <v>#DIV/0!</v>
      </c>
      <c r="S467" s="160" t="e">
        <f t="shared" si="254"/>
        <v>#DIV/0!</v>
      </c>
      <c r="T467" s="160" t="e">
        <f t="shared" ref="T467:T530" si="281">IMSUM(COMPLEX(1,0),IMDIV(COMPLEX(0,2*PI()*O467),COMPLEX(wz_esr,0)))</f>
        <v>#DIV/0!</v>
      </c>
      <c r="U467" s="160" t="e">
        <f t="shared" si="255"/>
        <v>#DIV/0!</v>
      </c>
      <c r="V467" s="160" t="e">
        <f t="shared" si="256"/>
        <v>#DIV/0!</v>
      </c>
      <c r="W467" s="98" t="str">
        <f t="shared" ref="W467:W530" si="282">IMSUB(COMPLEX(1,0),IMDIV(COMPLEX(0,2*PI()*O467),COMPLEX(wz_rhp,0)))</f>
        <v>1-15.4728412762046i</v>
      </c>
      <c r="X467" s="160">
        <f t="shared" si="257"/>
        <v>15.505122287767382</v>
      </c>
      <c r="Y467" s="160">
        <f t="shared" si="258"/>
        <v>-1.5062567155719513</v>
      </c>
      <c r="Z467" s="98" t="str">
        <f t="shared" ref="Z467:Z530" si="283">IF(Dc_Mode_Loop="CCM",IMSUM(COMPLEX(1,0),IMDIV(COMPLEX(0,2*PI()*O467),COMPLEX(Q*(wsl/2),0)),IMDIV(IMPOWER(COMPLEX(0,2*PI()*O467),2),IMPOWER(COMPLEX(wsl/2,0),2))),COMPLEX(1,0))</f>
        <v>-0.97312517773025+1.83736164592734i</v>
      </c>
      <c r="AA467" s="160">
        <f t="shared" si="259"/>
        <v>2.0791513724251427</v>
      </c>
      <c r="AB467" s="160">
        <f t="shared" si="260"/>
        <v>2.0578674177017922</v>
      </c>
      <c r="AC467" s="171" t="e">
        <f t="shared" si="261"/>
        <v>#DIV/0!</v>
      </c>
      <c r="AD467" s="190" t="e">
        <f t="shared" si="262"/>
        <v>#DIV/0!</v>
      </c>
      <c r="AE467" s="169" t="e">
        <f t="shared" si="263"/>
        <v>#DIV/0!</v>
      </c>
      <c r="AF467" s="98" t="str">
        <f t="shared" ref="AF467:AF530" si="284">COMPLEX(Adc_ea,0)</f>
        <v>-0.0000182926829268293</v>
      </c>
      <c r="AG467" s="98" t="str">
        <f t="shared" ref="AG467:AG530" si="285">COMPLEX(0,2*PI()*O467*wp0_ea)</f>
        <v>0.043144349258951i</v>
      </c>
      <c r="AH467" s="98">
        <f t="shared" si="264"/>
        <v>4.3144349258950998E-2</v>
      </c>
      <c r="AI467" s="98">
        <f t="shared" si="265"/>
        <v>1.5707963267948966</v>
      </c>
      <c r="AJ467" s="98" t="str">
        <f t="shared" ref="AJ467:AJ530" si="286">IMSUM(COMPLEX(1,0),IMDIV(COMPLEX(0,2*PI()*O467),COMPLEX(wp1_ea,0)))</f>
        <v>1+4.22942351327821i</v>
      </c>
      <c r="AK467" s="98">
        <f t="shared" si="266"/>
        <v>4.3460353489899965</v>
      </c>
      <c r="AL467" s="98">
        <f t="shared" si="267"/>
        <v>1.3386212630503349</v>
      </c>
      <c r="AM467" s="98" t="str">
        <f t="shared" ref="AM467:AM530" si="287">IMSUM(COMPLEX(1,0),IMDIV(COMPLEX(0,2*PI()*O467),COMPLEX(wz_ea,0)))</f>
        <v>1+427.171774841099i</v>
      </c>
      <c r="AN467" s="98">
        <f t="shared" si="268"/>
        <v>427.17294532881476</v>
      </c>
      <c r="AO467" s="98">
        <f t="shared" si="269"/>
        <v>1.5684553524324145</v>
      </c>
      <c r="AP467" s="168" t="str">
        <f t="shared" si="270"/>
        <v>-0.00949397645504799+0.0405780351740639i</v>
      </c>
      <c r="AQ467" s="98">
        <f t="shared" si="271"/>
        <v>-27.602720629838188</v>
      </c>
      <c r="AR467" s="169">
        <f t="shared" si="272"/>
        <v>103.16852330982567</v>
      </c>
      <c r="AS467" s="168" t="e">
        <f t="shared" si="273"/>
        <v>#DIV/0!</v>
      </c>
      <c r="AT467" s="190" t="e">
        <f t="shared" si="274"/>
        <v>#DIV/0!</v>
      </c>
      <c r="AU467" s="169" t="e">
        <f t="shared" si="275"/>
        <v>#DIV/0!</v>
      </c>
      <c r="AV467" s="225"/>
      <c r="AX467" t="e">
        <f t="shared" si="276"/>
        <v>#DIV/0!</v>
      </c>
      <c r="AY467" t="e">
        <f t="shared" si="277"/>
        <v>#DIV/0!</v>
      </c>
    </row>
    <row r="468" spans="14:51" x14ac:dyDescent="0.25">
      <c r="N468" s="170">
        <v>50</v>
      </c>
      <c r="O468" s="199">
        <f t="shared" si="278"/>
        <v>316227.7660168382</v>
      </c>
      <c r="P468" s="189" t="str">
        <f t="shared" si="279"/>
        <v>290</v>
      </c>
      <c r="Q468" s="160" t="e">
        <f t="shared" si="280"/>
        <v>#DIV/0!</v>
      </c>
      <c r="R468" s="160" t="e">
        <f t="shared" ref="R468:R531" si="288">IMABS(Q468)</f>
        <v>#DIV/0!</v>
      </c>
      <c r="S468" s="160" t="e">
        <f t="shared" ref="S468:S531" si="289">IMARGUMENT(Q468)</f>
        <v>#DIV/0!</v>
      </c>
      <c r="T468" s="160" t="e">
        <f t="shared" si="281"/>
        <v>#DIV/0!</v>
      </c>
      <c r="U468" s="160" t="e">
        <f t="shared" ref="U468:U531" si="290">IMABS(T468)</f>
        <v>#DIV/0!</v>
      </c>
      <c r="V468" s="160" t="e">
        <f t="shared" ref="V468:V531" si="291">IMARGUMENT(T468)</f>
        <v>#DIV/0!</v>
      </c>
      <c r="W468" s="98" t="str">
        <f t="shared" si="282"/>
        <v>1-15.8332500486126i</v>
      </c>
      <c r="X468" s="160">
        <f t="shared" ref="X468:X531" si="292">IMABS(W468)</f>
        <v>15.864797732775886</v>
      </c>
      <c r="Y468" s="160">
        <f t="shared" ref="Y468:Y531" si="293">IMARGUMENT(W468)</f>
        <v>-1.5077218780001083</v>
      </c>
      <c r="Z468" s="98" t="str">
        <f t="shared" si="283"/>
        <v>-1.06611570247934+1.88015929656288i</v>
      </c>
      <c r="AA468" s="160">
        <f t="shared" ref="AA468:AA531" si="294">IMABS(Z468)</f>
        <v>2.1613888293235997</v>
      </c>
      <c r="AB468" s="160">
        <f t="shared" ref="AB468:AB531" si="295">IMARGUMENT(Z468)</f>
        <v>2.0866239251793006</v>
      </c>
      <c r="AC468" s="171" t="e">
        <f t="shared" ref="AC468:AC531" si="296">(IMDIV(IMPRODUCT(P468,T468,W468),IMPRODUCT(Q468,Z468)))</f>
        <v>#DIV/0!</v>
      </c>
      <c r="AD468" s="190" t="e">
        <f t="shared" ref="AD468:AD531" si="297">20*LOG(IMABS(AC468))</f>
        <v>#DIV/0!</v>
      </c>
      <c r="AE468" s="169" t="e">
        <f t="shared" ref="AE468:AE531" si="298">(180/PI())*IMARGUMENT(AC468)</f>
        <v>#DIV/0!</v>
      </c>
      <c r="AF468" s="98" t="str">
        <f t="shared" si="284"/>
        <v>-0.0000182926829268293</v>
      </c>
      <c r="AG468" s="98" t="str">
        <f t="shared" si="285"/>
        <v>0.0441493102531979i</v>
      </c>
      <c r="AH468" s="98">
        <f t="shared" ref="AH468:AH531" si="299">IMABS(AG468)</f>
        <v>4.4149310253197897E-2</v>
      </c>
      <c r="AI468" s="98">
        <f t="shared" ref="AI468:AI531" si="300">IMARGUMENT(AG468)</f>
        <v>1.5707963267948966</v>
      </c>
      <c r="AJ468" s="98" t="str">
        <f t="shared" si="286"/>
        <v>1+4.32793944252503i</v>
      </c>
      <c r="AK468" s="98">
        <f t="shared" ref="AK468:AK531" si="301">IMABS(AJ468)</f>
        <v>4.4419657605798655</v>
      </c>
      <c r="AL468" s="98">
        <f t="shared" ref="AL468:AL531" si="302">IMARGUMENT(AJ468)</f>
        <v>1.343724431242046</v>
      </c>
      <c r="AM468" s="98" t="str">
        <f t="shared" si="287"/>
        <v>1+437.121883695028i</v>
      </c>
      <c r="AN468" s="98">
        <f t="shared" ref="AN468:AN531" si="303">IMABS(AM468)</f>
        <v>437.12302753926105</v>
      </c>
      <c r="AO468" s="98">
        <f t="shared" ref="AO468:AO531" si="304">IMARGUMENT(AM468)</f>
        <v>1.5685086393264915</v>
      </c>
      <c r="AP468" s="168" t="str">
        <f t="shared" ref="AP468:AP531" si="305">IMPRODUCT(AF468,IMDIV(AM468,IMPRODUCT(AG468,AJ468)))</f>
        <v>-0.00908833330367597+0.0397480929490139i</v>
      </c>
      <c r="AQ468" s="98">
        <f t="shared" ref="AQ468:AQ531" si="306">20*LOG(IMABS(AP468))</f>
        <v>-27.792360745538474</v>
      </c>
      <c r="AR468" s="169">
        <f t="shared" ref="AR468:AR531" si="307">(180/PI())*IMARGUMENT(AP468)</f>
        <v>102.87918642442916</v>
      </c>
      <c r="AS468" s="168" t="e">
        <f t="shared" ref="AS468:AS531" si="308">IMPRODUCT(AC468,AP468)</f>
        <v>#DIV/0!</v>
      </c>
      <c r="AT468" s="190" t="e">
        <f t="shared" ref="AT468:AT531" si="309">20*LOG(IMABS(AS468))</f>
        <v>#DIV/0!</v>
      </c>
      <c r="AU468" s="169" t="e">
        <f t="shared" ref="AU468:AU531" si="310">(180/PI())*IMARGUMENT(AS468)</f>
        <v>#DIV/0!</v>
      </c>
      <c r="AV468" s="225"/>
      <c r="AX468" t="e">
        <f t="shared" ref="AX468:AX531" si="311">SUM((AT469&lt;0)*(AT468&gt;0))*O468</f>
        <v>#DIV/0!</v>
      </c>
      <c r="AY468" t="e">
        <f t="shared" ref="AY468:AY531" si="312">IF(AX468&gt;0,AU468,0)</f>
        <v>#DIV/0!</v>
      </c>
    </row>
    <row r="469" spans="14:51" x14ac:dyDescent="0.25">
      <c r="N469" s="170">
        <v>51</v>
      </c>
      <c r="O469" s="199">
        <f t="shared" si="278"/>
        <v>323593.65692962846</v>
      </c>
      <c r="P469" s="189" t="str">
        <f t="shared" si="279"/>
        <v>290</v>
      </c>
      <c r="Q469" s="160" t="e">
        <f t="shared" si="280"/>
        <v>#DIV/0!</v>
      </c>
      <c r="R469" s="160" t="e">
        <f t="shared" si="288"/>
        <v>#DIV/0!</v>
      </c>
      <c r="S469" s="160" t="e">
        <f t="shared" si="289"/>
        <v>#DIV/0!</v>
      </c>
      <c r="T469" s="160" t="e">
        <f t="shared" si="281"/>
        <v>#DIV/0!</v>
      </c>
      <c r="U469" s="160" t="e">
        <f t="shared" si="290"/>
        <v>#DIV/0!</v>
      </c>
      <c r="V469" s="160" t="e">
        <f t="shared" si="291"/>
        <v>#DIV/0!</v>
      </c>
      <c r="W469" s="98" t="str">
        <f t="shared" si="282"/>
        <v>1-16.2020538197742i</v>
      </c>
      <c r="X469" s="160">
        <f t="shared" si="292"/>
        <v>16.232884770701101</v>
      </c>
      <c r="Y469" s="160">
        <f t="shared" si="293"/>
        <v>-1.5091539513287855</v>
      </c>
      <c r="Z469" s="98" t="str">
        <f t="shared" si="283"/>
        <v>-1.16348873564235+1.92395383254431i</v>
      </c>
      <c r="AA469" s="160">
        <f t="shared" si="294"/>
        <v>2.2484004064508998</v>
      </c>
      <c r="AB469" s="160">
        <f t="shared" si="295"/>
        <v>2.1146926522805058</v>
      </c>
      <c r="AC469" s="171" t="e">
        <f t="shared" si="296"/>
        <v>#DIV/0!</v>
      </c>
      <c r="AD469" s="190" t="e">
        <f t="shared" si="297"/>
        <v>#DIV/0!</v>
      </c>
      <c r="AE469" s="169" t="e">
        <f t="shared" si="298"/>
        <v>#DIV/0!</v>
      </c>
      <c r="AF469" s="98" t="str">
        <f t="shared" si="284"/>
        <v>-0.0000182926829268293</v>
      </c>
      <c r="AG469" s="98" t="str">
        <f t="shared" si="285"/>
        <v>0.0451776797961263i</v>
      </c>
      <c r="AH469" s="98">
        <f t="shared" si="299"/>
        <v>4.5177679796126302E-2</v>
      </c>
      <c r="AI469" s="98">
        <f t="shared" si="300"/>
        <v>1.5707963267948966</v>
      </c>
      <c r="AJ469" s="98" t="str">
        <f t="shared" si="286"/>
        <v>1+4.42875010255134i</v>
      </c>
      <c r="AK469" s="98">
        <f t="shared" si="301"/>
        <v>4.5402453095453446</v>
      </c>
      <c r="AL469" s="98">
        <f t="shared" si="302"/>
        <v>1.3487230928982652</v>
      </c>
      <c r="AM469" s="98" t="str">
        <f t="shared" si="287"/>
        <v>1+447.303760357685i</v>
      </c>
      <c r="AN469" s="98">
        <f t="shared" si="303"/>
        <v>447.30487816491035</v>
      </c>
      <c r="AO469" s="98">
        <f t="shared" si="304"/>
        <v>1.5685607132753265</v>
      </c>
      <c r="AP469" s="168" t="str">
        <f t="shared" si="305"/>
        <v>-0.00869913403106892+0.0389311960529154i</v>
      </c>
      <c r="AQ469" s="98">
        <f t="shared" si="306"/>
        <v>-27.982444004909468</v>
      </c>
      <c r="AR469" s="169">
        <f t="shared" si="307"/>
        <v>102.59576782580477</v>
      </c>
      <c r="AS469" s="168" t="e">
        <f t="shared" si="308"/>
        <v>#DIV/0!</v>
      </c>
      <c r="AT469" s="190" t="e">
        <f t="shared" si="309"/>
        <v>#DIV/0!</v>
      </c>
      <c r="AU469" s="169" t="e">
        <f t="shared" si="310"/>
        <v>#DIV/0!</v>
      </c>
      <c r="AV469" s="225"/>
      <c r="AX469" t="e">
        <f t="shared" si="311"/>
        <v>#DIV/0!</v>
      </c>
      <c r="AY469" t="e">
        <f t="shared" si="312"/>
        <v>#DIV/0!</v>
      </c>
    </row>
    <row r="470" spans="14:51" x14ac:dyDescent="0.25">
      <c r="N470" s="170">
        <v>52</v>
      </c>
      <c r="O470" s="199">
        <f t="shared" si="278"/>
        <v>331131.12148259126</v>
      </c>
      <c r="P470" s="189" t="str">
        <f t="shared" si="279"/>
        <v>290</v>
      </c>
      <c r="Q470" s="160" t="e">
        <f t="shared" si="280"/>
        <v>#DIV/0!</v>
      </c>
      <c r="R470" s="160" t="e">
        <f t="shared" si="288"/>
        <v>#DIV/0!</v>
      </c>
      <c r="S470" s="160" t="e">
        <f t="shared" si="289"/>
        <v>#DIV/0!</v>
      </c>
      <c r="T470" s="160" t="e">
        <f t="shared" si="281"/>
        <v>#DIV/0!</v>
      </c>
      <c r="U470" s="160" t="e">
        <f t="shared" si="290"/>
        <v>#DIV/0!</v>
      </c>
      <c r="V470" s="160" t="e">
        <f t="shared" si="291"/>
        <v>#DIV/0!</v>
      </c>
      <c r="W470" s="98" t="str">
        <f t="shared" si="282"/>
        <v>1-16.5794481343306i</v>
      </c>
      <c r="X470" s="160">
        <f t="shared" si="292"/>
        <v>16.609578574995766</v>
      </c>
      <c r="Y470" s="160">
        <f t="shared" si="293"/>
        <v>-1.5105536713534029</v>
      </c>
      <c r="Z470" s="98" t="str">
        <f t="shared" si="283"/>
        <v>-1.26545081847767+1.9687684743143i</v>
      </c>
      <c r="AA470" s="160">
        <f t="shared" si="294"/>
        <v>2.3403878053518525</v>
      </c>
      <c r="AB470" s="160">
        <f t="shared" si="295"/>
        <v>2.1420669340047414</v>
      </c>
      <c r="AC470" s="171" t="e">
        <f t="shared" si="296"/>
        <v>#DIV/0!</v>
      </c>
      <c r="AD470" s="190" t="e">
        <f t="shared" si="297"/>
        <v>#DIV/0!</v>
      </c>
      <c r="AE470" s="169" t="e">
        <f t="shared" si="298"/>
        <v>#DIV/0!</v>
      </c>
      <c r="AF470" s="98" t="str">
        <f t="shared" si="284"/>
        <v>-0.0000182926829268293</v>
      </c>
      <c r="AG470" s="98" t="str">
        <f t="shared" si="285"/>
        <v>0.0462300031428798i</v>
      </c>
      <c r="AH470" s="98">
        <f t="shared" si="299"/>
        <v>4.6230003142879797E-2</v>
      </c>
      <c r="AI470" s="98">
        <f t="shared" si="300"/>
        <v>1.5707963267948966</v>
      </c>
      <c r="AJ470" s="98" t="str">
        <f t="shared" si="286"/>
        <v>1+4.53190894450347i</v>
      </c>
      <c r="AK470" s="98">
        <f t="shared" si="301"/>
        <v>4.6409264895353122</v>
      </c>
      <c r="AL470" s="98">
        <f t="shared" si="302"/>
        <v>1.3536188987292503</v>
      </c>
      <c r="AM470" s="98" t="str">
        <f t="shared" si="287"/>
        <v>1+457.72280339485i</v>
      </c>
      <c r="AN470" s="98">
        <f t="shared" si="303"/>
        <v>457.72389575773786</v>
      </c>
      <c r="AO470" s="98">
        <f t="shared" si="304"/>
        <v>1.568611601888086</v>
      </c>
      <c r="AP470" s="168" t="str">
        <f t="shared" si="305"/>
        <v>-0.00832578669720325+0.0381273957534451i</v>
      </c>
      <c r="AQ470" s="98">
        <f t="shared" si="306"/>
        <v>-28.172952401589484</v>
      </c>
      <c r="AR470" s="169">
        <f t="shared" si="307"/>
        <v>102.31817451711025</v>
      </c>
      <c r="AS470" s="168" t="e">
        <f t="shared" si="308"/>
        <v>#DIV/0!</v>
      </c>
      <c r="AT470" s="190" t="e">
        <f t="shared" si="309"/>
        <v>#DIV/0!</v>
      </c>
      <c r="AU470" s="169" t="e">
        <f t="shared" si="310"/>
        <v>#DIV/0!</v>
      </c>
      <c r="AV470" s="225"/>
      <c r="AX470" t="e">
        <f t="shared" si="311"/>
        <v>#DIV/0!</v>
      </c>
      <c r="AY470" t="e">
        <f t="shared" si="312"/>
        <v>#DIV/0!</v>
      </c>
    </row>
    <row r="471" spans="14:51" x14ac:dyDescent="0.25">
      <c r="N471" s="170">
        <v>53</v>
      </c>
      <c r="O471" s="199">
        <f t="shared" si="278"/>
        <v>338844.15613920329</v>
      </c>
      <c r="P471" s="189" t="str">
        <f t="shared" si="279"/>
        <v>290</v>
      </c>
      <c r="Q471" s="160" t="e">
        <f t="shared" si="280"/>
        <v>#DIV/0!</v>
      </c>
      <c r="R471" s="160" t="e">
        <f t="shared" si="288"/>
        <v>#DIV/0!</v>
      </c>
      <c r="S471" s="160" t="e">
        <f t="shared" si="289"/>
        <v>#DIV/0!</v>
      </c>
      <c r="T471" s="160" t="e">
        <f t="shared" si="281"/>
        <v>#DIV/0!</v>
      </c>
      <c r="U471" s="160" t="e">
        <f t="shared" si="290"/>
        <v>#DIV/0!</v>
      </c>
      <c r="V471" s="160" t="e">
        <f t="shared" si="291"/>
        <v>#DIV/0!</v>
      </c>
      <c r="W471" s="98" t="str">
        <f t="shared" si="282"/>
        <v>1-16.9656330917427i</v>
      </c>
      <c r="X471" s="160">
        <f t="shared" si="292"/>
        <v>16.995078881948</v>
      </c>
      <c r="Y471" s="160">
        <f t="shared" si="293"/>
        <v>-1.511921758272823</v>
      </c>
      <c r="Z471" s="98" t="str">
        <f t="shared" si="283"/>
        <v>-1.37221822623325+2.01462698318909i</v>
      </c>
      <c r="AA471" s="160">
        <f t="shared" si="294"/>
        <v>2.4375612283182346</v>
      </c>
      <c r="AB471" s="160">
        <f t="shared" si="295"/>
        <v>2.1687437044143456</v>
      </c>
      <c r="AC471" s="171" t="e">
        <f t="shared" si="296"/>
        <v>#DIV/0!</v>
      </c>
      <c r="AD471" s="190" t="e">
        <f t="shared" si="297"/>
        <v>#DIV/0!</v>
      </c>
      <c r="AE471" s="169" t="e">
        <f t="shared" si="298"/>
        <v>#DIV/0!</v>
      </c>
      <c r="AF471" s="98" t="str">
        <f t="shared" si="284"/>
        <v>-0.0000182926829268293</v>
      </c>
      <c r="AG471" s="98" t="str">
        <f t="shared" si="285"/>
        <v>0.0473068382492262i</v>
      </c>
      <c r="AH471" s="98">
        <f t="shared" si="299"/>
        <v>4.7306838249226199E-2</v>
      </c>
      <c r="AI471" s="98">
        <f t="shared" si="300"/>
        <v>1.5707963267948966</v>
      </c>
      <c r="AJ471" s="98" t="str">
        <f t="shared" si="286"/>
        <v>1+4.63747066456487i</v>
      </c>
      <c r="AK471" s="98">
        <f t="shared" si="301"/>
        <v>4.7440630439212903</v>
      </c>
      <c r="AL471" s="98">
        <f t="shared" si="302"/>
        <v>1.358413505352104</v>
      </c>
      <c r="AM471" s="98" t="str">
        <f t="shared" si="287"/>
        <v>1+468.384537121052i</v>
      </c>
      <c r="AN471" s="98">
        <f t="shared" si="303"/>
        <v>468.38560461878222</v>
      </c>
      <c r="AO471" s="98">
        <f t="shared" si="304"/>
        <v>1.5686613321455314</v>
      </c>
      <c r="AP471" s="168" t="str">
        <f t="shared" si="305"/>
        <v>-0.0079677143462294+0.0373367231235912i</v>
      </c>
      <c r="AQ471" s="98">
        <f t="shared" si="306"/>
        <v>-28.363868580980149</v>
      </c>
      <c r="AR471" s="169">
        <f t="shared" si="307"/>
        <v>102.04631312706093</v>
      </c>
      <c r="AS471" s="168" t="e">
        <f t="shared" si="308"/>
        <v>#DIV/0!</v>
      </c>
      <c r="AT471" s="190" t="e">
        <f t="shared" si="309"/>
        <v>#DIV/0!</v>
      </c>
      <c r="AU471" s="169" t="e">
        <f t="shared" si="310"/>
        <v>#DIV/0!</v>
      </c>
      <c r="AV471" s="225"/>
      <c r="AX471" t="e">
        <f t="shared" si="311"/>
        <v>#DIV/0!</v>
      </c>
      <c r="AY471" t="e">
        <f t="shared" si="312"/>
        <v>#DIV/0!</v>
      </c>
    </row>
    <row r="472" spans="14:51" x14ac:dyDescent="0.25">
      <c r="N472" s="170">
        <v>54</v>
      </c>
      <c r="O472" s="199">
        <f t="shared" si="278"/>
        <v>346736.85045253241</v>
      </c>
      <c r="P472" s="189" t="str">
        <f t="shared" si="279"/>
        <v>290</v>
      </c>
      <c r="Q472" s="160" t="e">
        <f t="shared" si="280"/>
        <v>#DIV/0!</v>
      </c>
      <c r="R472" s="160" t="e">
        <f t="shared" si="288"/>
        <v>#DIV/0!</v>
      </c>
      <c r="S472" s="160" t="e">
        <f t="shared" si="289"/>
        <v>#DIV/0!</v>
      </c>
      <c r="T472" s="160" t="e">
        <f t="shared" si="281"/>
        <v>#DIV/0!</v>
      </c>
      <c r="U472" s="160" t="e">
        <f t="shared" si="290"/>
        <v>#DIV/0!</v>
      </c>
      <c r="V472" s="160" t="e">
        <f t="shared" si="291"/>
        <v>#DIV/0!</v>
      </c>
      <c r="W472" s="98" t="str">
        <f t="shared" si="282"/>
        <v>1-17.3608134523868i</v>
      </c>
      <c r="X472" s="160">
        <f t="shared" si="292"/>
        <v>17.389590096623166</v>
      </c>
      <c r="Y472" s="160">
        <f t="shared" si="293"/>
        <v>-1.5132589169684951</v>
      </c>
      <c r="Z472" s="98" t="str">
        <f t="shared" si="283"/>
        <v>-1.4840174268955+2.06155367395711i</v>
      </c>
      <c r="AA472" s="160">
        <f t="shared" si="294"/>
        <v>2.5401400106953949</v>
      </c>
      <c r="AB472" s="160">
        <f t="shared" si="295"/>
        <v>2.1947231452973388</v>
      </c>
      <c r="AC472" s="171" t="e">
        <f t="shared" si="296"/>
        <v>#DIV/0!</v>
      </c>
      <c r="AD472" s="190" t="e">
        <f t="shared" si="297"/>
        <v>#DIV/0!</v>
      </c>
      <c r="AE472" s="169" t="e">
        <f t="shared" si="298"/>
        <v>#DIV/0!</v>
      </c>
      <c r="AF472" s="98" t="str">
        <f t="shared" si="284"/>
        <v>-0.0000182926829268293</v>
      </c>
      <c r="AG472" s="98" t="str">
        <f t="shared" si="285"/>
        <v>0.0484087560673923i</v>
      </c>
      <c r="AH472" s="98">
        <f t="shared" si="299"/>
        <v>4.8408756067392297E-2</v>
      </c>
      <c r="AI472" s="98">
        <f t="shared" si="300"/>
        <v>1.5707963267948966</v>
      </c>
      <c r="AJ472" s="98" t="str">
        <f t="shared" si="286"/>
        <v>1+4.74549123295681i</v>
      </c>
      <c r="AK472" s="98">
        <f t="shared" si="301"/>
        <v>4.8497099956667453</v>
      </c>
      <c r="AL472" s="98">
        <f t="shared" si="302"/>
        <v>1.3631085727685559</v>
      </c>
      <c r="AM472" s="98" t="str">
        <f t="shared" si="287"/>
        <v>1+479.294614528637i</v>
      </c>
      <c r="AN472" s="98">
        <f t="shared" si="303"/>
        <v>479.29565772720576</v>
      </c>
      <c r="AO472" s="98">
        <f t="shared" si="304"/>
        <v>1.5687099304143188</v>
      </c>
      <c r="AP472" s="168" t="str">
        <f t="shared" si="305"/>
        <v>-0.00762435519407575+0.0365591903624042i</v>
      </c>
      <c r="AQ472" s="98">
        <f t="shared" si="306"/>
        <v>-28.555175823427732</v>
      </c>
      <c r="AR472" s="169">
        <f t="shared" si="307"/>
        <v>101.78009005526204</v>
      </c>
      <c r="AS472" s="168" t="e">
        <f t="shared" si="308"/>
        <v>#DIV/0!</v>
      </c>
      <c r="AT472" s="190" t="e">
        <f t="shared" si="309"/>
        <v>#DIV/0!</v>
      </c>
      <c r="AU472" s="169" t="e">
        <f t="shared" si="310"/>
        <v>#DIV/0!</v>
      </c>
      <c r="AV472" s="225"/>
      <c r="AX472" t="e">
        <f t="shared" si="311"/>
        <v>#DIV/0!</v>
      </c>
      <c r="AY472" t="e">
        <f t="shared" si="312"/>
        <v>#DIV/0!</v>
      </c>
    </row>
    <row r="473" spans="14:51" x14ac:dyDescent="0.25">
      <c r="N473" s="170">
        <v>55</v>
      </c>
      <c r="O473" s="199">
        <f t="shared" si="278"/>
        <v>354813.38923357555</v>
      </c>
      <c r="P473" s="189" t="str">
        <f t="shared" si="279"/>
        <v>290</v>
      </c>
      <c r="Q473" s="160" t="e">
        <f t="shared" si="280"/>
        <v>#DIV/0!</v>
      </c>
      <c r="R473" s="160" t="e">
        <f t="shared" si="288"/>
        <v>#DIV/0!</v>
      </c>
      <c r="S473" s="160" t="e">
        <f t="shared" si="289"/>
        <v>#DIV/0!</v>
      </c>
      <c r="T473" s="160" t="e">
        <f t="shared" si="281"/>
        <v>#DIV/0!</v>
      </c>
      <c r="U473" s="160" t="e">
        <f t="shared" si="290"/>
        <v>#DIV/0!</v>
      </c>
      <c r="V473" s="160" t="e">
        <f t="shared" si="291"/>
        <v>#DIV/0!</v>
      </c>
      <c r="W473" s="98" t="str">
        <f t="shared" si="282"/>
        <v>1-17.7651987461208i</v>
      </c>
      <c r="X473" s="160">
        <f t="shared" si="292"/>
        <v>17.79332140127784</v>
      </c>
      <c r="Y473" s="160">
        <f t="shared" si="293"/>
        <v>-1.514565837282194</v>
      </c>
      <c r="Z473" s="98" t="str">
        <f t="shared" si="283"/>
        <v>-1.60108556155819+2.10957342777095i</v>
      </c>
      <c r="AA473" s="160">
        <f t="shared" si="294"/>
        <v>2.6483532661990887</v>
      </c>
      <c r="AB473" s="160">
        <f t="shared" si="295"/>
        <v>2.2200083333711076</v>
      </c>
      <c r="AC473" s="171" t="e">
        <f t="shared" si="296"/>
        <v>#DIV/0!</v>
      </c>
      <c r="AD473" s="190" t="e">
        <f t="shared" si="297"/>
        <v>#DIV/0!</v>
      </c>
      <c r="AE473" s="169" t="e">
        <f t="shared" si="298"/>
        <v>#DIV/0!</v>
      </c>
      <c r="AF473" s="98" t="str">
        <f t="shared" si="284"/>
        <v>-0.0000182926829268293</v>
      </c>
      <c r="AG473" s="98" t="str">
        <f t="shared" si="285"/>
        <v>0.0495363408487909i</v>
      </c>
      <c r="AH473" s="98">
        <f t="shared" si="299"/>
        <v>4.9536340848790897E-2</v>
      </c>
      <c r="AI473" s="98">
        <f t="shared" si="300"/>
        <v>1.5707963267948966</v>
      </c>
      <c r="AJ473" s="98" t="str">
        <f t="shared" si="286"/>
        <v>1+4.85602792361443i</v>
      </c>
      <c r="AK473" s="98">
        <f t="shared" si="301"/>
        <v>4.9579236778033486</v>
      </c>
      <c r="AL473" s="98">
        <f t="shared" si="302"/>
        <v>1.3677057620094708</v>
      </c>
      <c r="AM473" s="98" t="str">
        <f t="shared" si="287"/>
        <v>1+490.458820285057i</v>
      </c>
      <c r="AN473" s="98">
        <f t="shared" si="303"/>
        <v>490.45983973757711</v>
      </c>
      <c r="AO473" s="98">
        <f t="shared" si="304"/>
        <v>1.5687574224609748</v>
      </c>
      <c r="AP473" s="168" t="str">
        <f t="shared" si="305"/>
        <v>-0.0072951627506654+0.0357947920659443i</v>
      </c>
      <c r="AQ473" s="98">
        <f t="shared" si="306"/>
        <v>-28.746858027232118</v>
      </c>
      <c r="AR473" s="169">
        <f t="shared" si="307"/>
        <v>101.51941160796848</v>
      </c>
      <c r="AS473" s="168" t="e">
        <f t="shared" si="308"/>
        <v>#DIV/0!</v>
      </c>
      <c r="AT473" s="190" t="e">
        <f t="shared" si="309"/>
        <v>#DIV/0!</v>
      </c>
      <c r="AU473" s="169" t="e">
        <f t="shared" si="310"/>
        <v>#DIV/0!</v>
      </c>
      <c r="AV473" s="225"/>
      <c r="AX473" t="e">
        <f t="shared" si="311"/>
        <v>#DIV/0!</v>
      </c>
      <c r="AY473" t="e">
        <f t="shared" si="312"/>
        <v>#DIV/0!</v>
      </c>
    </row>
    <row r="474" spans="14:51" x14ac:dyDescent="0.25">
      <c r="N474" s="170">
        <v>56</v>
      </c>
      <c r="O474" s="199">
        <f t="shared" si="278"/>
        <v>363078.05477010203</v>
      </c>
      <c r="P474" s="189" t="str">
        <f t="shared" si="279"/>
        <v>290</v>
      </c>
      <c r="Q474" s="160" t="e">
        <f t="shared" si="280"/>
        <v>#DIV/0!</v>
      </c>
      <c r="R474" s="160" t="e">
        <f t="shared" si="288"/>
        <v>#DIV/0!</v>
      </c>
      <c r="S474" s="160" t="e">
        <f t="shared" si="289"/>
        <v>#DIV/0!</v>
      </c>
      <c r="T474" s="160" t="e">
        <f t="shared" si="281"/>
        <v>#DIV/0!</v>
      </c>
      <c r="U474" s="160" t="e">
        <f t="shared" si="290"/>
        <v>#DIV/0!</v>
      </c>
      <c r="V474" s="160" t="e">
        <f t="shared" si="291"/>
        <v>#DIV/0!</v>
      </c>
      <c r="W474" s="98" t="str">
        <f t="shared" si="282"/>
        <v>1-18.1790033833803i</v>
      </c>
      <c r="X474" s="160">
        <f t="shared" si="292"/>
        <v>18.20648686630544</v>
      </c>
      <c r="Y474" s="160">
        <f t="shared" si="293"/>
        <v>-1.515843194292078</v>
      </c>
      <c r="Z474" s="98" t="str">
        <f t="shared" si="283"/>
        <v>-1.7236709474306+2.15871170533971i</v>
      </c>
      <c r="AA474" s="160">
        <f t="shared" si="294"/>
        <v>2.762440544480004</v>
      </c>
      <c r="AB474" s="160">
        <f t="shared" si="295"/>
        <v>2.2446048937642078</v>
      </c>
      <c r="AC474" s="171" t="e">
        <f t="shared" si="296"/>
        <v>#DIV/0!</v>
      </c>
      <c r="AD474" s="190" t="e">
        <f t="shared" si="297"/>
        <v>#DIV/0!</v>
      </c>
      <c r="AE474" s="169" t="e">
        <f t="shared" si="298"/>
        <v>#DIV/0!</v>
      </c>
      <c r="AF474" s="98" t="str">
        <f t="shared" si="284"/>
        <v>-0.0000182926829268293</v>
      </c>
      <c r="AG474" s="98" t="str">
        <f t="shared" si="285"/>
        <v>0.0506901904537987i</v>
      </c>
      <c r="AH474" s="98">
        <f t="shared" si="299"/>
        <v>5.0690190453798703E-2</v>
      </c>
      <c r="AI474" s="98">
        <f t="shared" si="300"/>
        <v>1.5707963267948966</v>
      </c>
      <c r="AJ474" s="98" t="str">
        <f t="shared" si="286"/>
        <v>1+4.96913934455433i</v>
      </c>
      <c r="AK474" s="98">
        <f t="shared" si="301"/>
        <v>5.0687617645336065</v>
      </c>
      <c r="AL474" s="98">
        <f t="shared" si="302"/>
        <v>1.3722067329396455</v>
      </c>
      <c r="AM474" s="98" t="str">
        <f t="shared" si="287"/>
        <v>1+501.883073799987i</v>
      </c>
      <c r="AN474" s="98">
        <f t="shared" si="303"/>
        <v>501.88407004698121</v>
      </c>
      <c r="AO474" s="98">
        <f t="shared" si="304"/>
        <v>1.5688038334655541</v>
      </c>
      <c r="AP474" s="168" t="str">
        <f t="shared" si="305"/>
        <v>-0.00697960588260413+0.0350435064476701i</v>
      </c>
      <c r="AQ474" s="98">
        <f t="shared" si="306"/>
        <v>-28.938899691553189</v>
      </c>
      <c r="AR474" s="169">
        <f t="shared" si="307"/>
        <v>101.26418412464372</v>
      </c>
      <c r="AS474" s="168" t="e">
        <f t="shared" si="308"/>
        <v>#DIV/0!</v>
      </c>
      <c r="AT474" s="190" t="e">
        <f t="shared" si="309"/>
        <v>#DIV/0!</v>
      </c>
      <c r="AU474" s="169" t="e">
        <f t="shared" si="310"/>
        <v>#DIV/0!</v>
      </c>
      <c r="AV474" s="225"/>
      <c r="AX474" t="e">
        <f t="shared" si="311"/>
        <v>#DIV/0!</v>
      </c>
      <c r="AY474" t="e">
        <f t="shared" si="312"/>
        <v>#DIV/0!</v>
      </c>
    </row>
    <row r="475" spans="14:51" x14ac:dyDescent="0.25">
      <c r="N475" s="170">
        <v>57</v>
      </c>
      <c r="O475" s="199">
        <f t="shared" si="278"/>
        <v>371535.2290971732</v>
      </c>
      <c r="P475" s="189" t="str">
        <f t="shared" si="279"/>
        <v>290</v>
      </c>
      <c r="Q475" s="160" t="e">
        <f t="shared" si="280"/>
        <v>#DIV/0!</v>
      </c>
      <c r="R475" s="160" t="e">
        <f t="shared" si="288"/>
        <v>#DIV/0!</v>
      </c>
      <c r="S475" s="160" t="e">
        <f t="shared" si="289"/>
        <v>#DIV/0!</v>
      </c>
      <c r="T475" s="160" t="e">
        <f t="shared" si="281"/>
        <v>#DIV/0!</v>
      </c>
      <c r="U475" s="160" t="e">
        <f t="shared" si="290"/>
        <v>#DIV/0!</v>
      </c>
      <c r="V475" s="160" t="e">
        <f t="shared" si="291"/>
        <v>#DIV/0!</v>
      </c>
      <c r="W475" s="98" t="str">
        <f t="shared" si="282"/>
        <v>1-18.6024467688611i</v>
      </c>
      <c r="X475" s="160">
        <f t="shared" si="292"/>
        <v>18.629305563769968</v>
      </c>
      <c r="Y475" s="160">
        <f t="shared" si="293"/>
        <v>-1.5170916485867945</v>
      </c>
      <c r="Z475" s="98" t="str">
        <f t="shared" si="283"/>
        <v>-1.85203360455142+2.20899456042856i</v>
      </c>
      <c r="AA475" s="160">
        <f t="shared" si="294"/>
        <v>2.8826525008038506</v>
      </c>
      <c r="AB475" s="160">
        <f t="shared" si="295"/>
        <v>2.2685206659337513</v>
      </c>
      <c r="AC475" s="171" t="e">
        <f t="shared" si="296"/>
        <v>#DIV/0!</v>
      </c>
      <c r="AD475" s="190" t="e">
        <f t="shared" si="297"/>
        <v>#DIV/0!</v>
      </c>
      <c r="AE475" s="169" t="e">
        <f t="shared" si="298"/>
        <v>#DIV/0!</v>
      </c>
      <c r="AF475" s="98" t="str">
        <f t="shared" si="284"/>
        <v>-0.0000182926829268293</v>
      </c>
      <c r="AG475" s="98" t="str">
        <f t="shared" si="285"/>
        <v>0.051870916668749i</v>
      </c>
      <c r="AH475" s="98">
        <f t="shared" si="299"/>
        <v>5.1870916668748997E-2</v>
      </c>
      <c r="AI475" s="98">
        <f t="shared" si="300"/>
        <v>1.5707963267948966</v>
      </c>
      <c r="AJ475" s="98" t="str">
        <f t="shared" si="286"/>
        <v>1+5.08488546894902i</v>
      </c>
      <c r="AK475" s="98">
        <f t="shared" si="301"/>
        <v>5.1822833029784174</v>
      </c>
      <c r="AL475" s="98">
        <f t="shared" si="302"/>
        <v>1.3766131422163361</v>
      </c>
      <c r="AM475" s="98" t="str">
        <f t="shared" si="287"/>
        <v>1+513.573432363851i</v>
      </c>
      <c r="AN475" s="98">
        <f t="shared" si="303"/>
        <v>513.57440593353851</v>
      </c>
      <c r="AO475" s="98">
        <f t="shared" si="304"/>
        <v>1.5688491880349849</v>
      </c>
      <c r="AP475" s="168" t="str">
        <f t="shared" si="305"/>
        <v>-0.00667716882189506+0.0343052965078923i</v>
      </c>
      <c r="AQ475" s="98">
        <f t="shared" si="306"/>
        <v>-29.131285899277618</v>
      </c>
      <c r="AR475" s="169">
        <f t="shared" si="307"/>
        <v>101.01431409569211</v>
      </c>
      <c r="AS475" s="168" t="e">
        <f t="shared" si="308"/>
        <v>#DIV/0!</v>
      </c>
      <c r="AT475" s="190" t="e">
        <f t="shared" si="309"/>
        <v>#DIV/0!</v>
      </c>
      <c r="AU475" s="169" t="e">
        <f t="shared" si="310"/>
        <v>#DIV/0!</v>
      </c>
      <c r="AV475" s="225"/>
      <c r="AX475" t="e">
        <f t="shared" si="311"/>
        <v>#DIV/0!</v>
      </c>
      <c r="AY475" t="e">
        <f t="shared" si="312"/>
        <v>#DIV/0!</v>
      </c>
    </row>
    <row r="476" spans="14:51" x14ac:dyDescent="0.25">
      <c r="N476" s="170">
        <v>58</v>
      </c>
      <c r="O476" s="199">
        <f t="shared" si="278"/>
        <v>380189.39632056188</v>
      </c>
      <c r="P476" s="189" t="str">
        <f t="shared" si="279"/>
        <v>290</v>
      </c>
      <c r="Q476" s="160" t="e">
        <f t="shared" si="280"/>
        <v>#DIV/0!</v>
      </c>
      <c r="R476" s="160" t="e">
        <f t="shared" si="288"/>
        <v>#DIV/0!</v>
      </c>
      <c r="S476" s="160" t="e">
        <f t="shared" si="289"/>
        <v>#DIV/0!</v>
      </c>
      <c r="T476" s="160" t="e">
        <f t="shared" si="281"/>
        <v>#DIV/0!</v>
      </c>
      <c r="U476" s="160" t="e">
        <f t="shared" si="290"/>
        <v>#DIV/0!</v>
      </c>
      <c r="V476" s="160" t="e">
        <f t="shared" si="291"/>
        <v>#DIV/0!</v>
      </c>
      <c r="W476" s="98" t="str">
        <f t="shared" si="282"/>
        <v>1-19.0357534178514i</v>
      </c>
      <c r="X476" s="160">
        <f t="shared" si="292"/>
        <v>19.062001683591397</v>
      </c>
      <c r="Y476" s="160">
        <f t="shared" si="293"/>
        <v>-1.5183118465374064</v>
      </c>
      <c r="Z476" s="98" t="str">
        <f t="shared" si="283"/>
        <v>-1.98644580732631+2.26044865367285i</v>
      </c>
      <c r="AA476" s="160">
        <f t="shared" si="294"/>
        <v>3.0092515782725235</v>
      </c>
      <c r="AB476" s="160">
        <f t="shared" si="295"/>
        <v>2.2917653866910079</v>
      </c>
      <c r="AC476" s="171" t="e">
        <f t="shared" si="296"/>
        <v>#DIV/0!</v>
      </c>
      <c r="AD476" s="190" t="e">
        <f t="shared" si="297"/>
        <v>#DIV/0!</v>
      </c>
      <c r="AE476" s="169" t="e">
        <f t="shared" si="298"/>
        <v>#DIV/0!</v>
      </c>
      <c r="AF476" s="98" t="str">
        <f t="shared" si="284"/>
        <v>-0.0000182926829268293</v>
      </c>
      <c r="AG476" s="98" t="str">
        <f t="shared" si="285"/>
        <v>0.0530791455303098i</v>
      </c>
      <c r="AH476" s="98">
        <f t="shared" si="299"/>
        <v>5.3079145530309797E-2</v>
      </c>
      <c r="AI476" s="98">
        <f t="shared" si="300"/>
        <v>1.5707963267948966</v>
      </c>
      <c r="AJ476" s="98" t="str">
        <f t="shared" si="286"/>
        <v>1+5.20332766692577i</v>
      </c>
      <c r="AK476" s="98">
        <f t="shared" si="301"/>
        <v>5.2985487455901721</v>
      </c>
      <c r="AL476" s="98">
        <f t="shared" si="302"/>
        <v>1.3809266413950052</v>
      </c>
      <c r="AM476" s="98" t="str">
        <f t="shared" si="287"/>
        <v>1+525.536094359502i</v>
      </c>
      <c r="AN476" s="98">
        <f t="shared" si="303"/>
        <v>525.53704576807843</v>
      </c>
      <c r="AO476" s="98">
        <f t="shared" si="304"/>
        <v>1.5688935102161137</v>
      </c>
      <c r="AP476" s="168" t="str">
        <f t="shared" si="305"/>
        <v>-0.00638735112592986+0.0335801111522479i</v>
      </c>
      <c r="AQ476" s="98">
        <f t="shared" si="306"/>
        <v>-29.324002299903043</v>
      </c>
      <c r="AR476" s="169">
        <f t="shared" si="307"/>
        <v>100.76970827173872</v>
      </c>
      <c r="AS476" s="168" t="e">
        <f t="shared" si="308"/>
        <v>#DIV/0!</v>
      </c>
      <c r="AT476" s="190" t="e">
        <f t="shared" si="309"/>
        <v>#DIV/0!</v>
      </c>
      <c r="AU476" s="169" t="e">
        <f t="shared" si="310"/>
        <v>#DIV/0!</v>
      </c>
      <c r="AV476" s="225"/>
      <c r="AX476" t="e">
        <f t="shared" si="311"/>
        <v>#DIV/0!</v>
      </c>
      <c r="AY476" t="e">
        <f t="shared" si="312"/>
        <v>#DIV/0!</v>
      </c>
    </row>
    <row r="477" spans="14:51" x14ac:dyDescent="0.25">
      <c r="N477" s="170">
        <v>59</v>
      </c>
      <c r="O477" s="199">
        <f t="shared" si="278"/>
        <v>389045.14499428123</v>
      </c>
      <c r="P477" s="189" t="str">
        <f t="shared" si="279"/>
        <v>290</v>
      </c>
      <c r="Q477" s="160" t="e">
        <f t="shared" si="280"/>
        <v>#DIV/0!</v>
      </c>
      <c r="R477" s="160" t="e">
        <f t="shared" si="288"/>
        <v>#DIV/0!</v>
      </c>
      <c r="S477" s="160" t="e">
        <f t="shared" si="289"/>
        <v>#DIV/0!</v>
      </c>
      <c r="T477" s="160" t="e">
        <f t="shared" si="281"/>
        <v>#DIV/0!</v>
      </c>
      <c r="U477" s="160" t="e">
        <f t="shared" si="290"/>
        <v>#DIV/0!</v>
      </c>
      <c r="V477" s="160" t="e">
        <f t="shared" si="291"/>
        <v>#DIV/0!</v>
      </c>
      <c r="W477" s="98" t="str">
        <f t="shared" si="282"/>
        <v>1-19.4791530752717i</v>
      </c>
      <c r="X477" s="160">
        <f t="shared" si="292"/>
        <v>19.504804652440562</v>
      </c>
      <c r="Y477" s="160">
        <f t="shared" si="293"/>
        <v>-1.5195044205669204</v>
      </c>
      <c r="Z477" s="98" t="str">
        <f t="shared" si="283"/>
        <v>-2.12719266205829+2.31310126671389i</v>
      </c>
      <c r="AA477" s="160">
        <f t="shared" si="294"/>
        <v>3.1425127034887286</v>
      </c>
      <c r="AB477" s="160">
        <f t="shared" si="295"/>
        <v>2.3143503936642857</v>
      </c>
      <c r="AC477" s="171" t="e">
        <f t="shared" si="296"/>
        <v>#DIV/0!</v>
      </c>
      <c r="AD477" s="190" t="e">
        <f t="shared" si="297"/>
        <v>#DIV/0!</v>
      </c>
      <c r="AE477" s="169" t="e">
        <f t="shared" si="298"/>
        <v>#DIV/0!</v>
      </c>
      <c r="AF477" s="98" t="str">
        <f t="shared" si="284"/>
        <v>-0.0000182926829268293</v>
      </c>
      <c r="AG477" s="98" t="str">
        <f t="shared" si="285"/>
        <v>0.0543155176574163i</v>
      </c>
      <c r="AH477" s="98">
        <f t="shared" si="299"/>
        <v>5.4315517657416303E-2</v>
      </c>
      <c r="AI477" s="98">
        <f t="shared" si="300"/>
        <v>1.5707963267948966</v>
      </c>
      <c r="AJ477" s="98" t="str">
        <f t="shared" si="286"/>
        <v>1+5.32452873810571i</v>
      </c>
      <c r="AK477" s="98">
        <f t="shared" si="301"/>
        <v>5.417619983250356</v>
      </c>
      <c r="AL477" s="98">
        <f t="shared" si="302"/>
        <v>1.3851488751757062</v>
      </c>
      <c r="AM477" s="98" t="str">
        <f t="shared" si="287"/>
        <v>1+537.777402548676i</v>
      </c>
      <c r="AN477" s="98">
        <f t="shared" si="303"/>
        <v>537.77833230058718</v>
      </c>
      <c r="AO477" s="98">
        <f t="shared" si="304"/>
        <v>1.5689368235084509</v>
      </c>
      <c r="AP477" s="168" t="str">
        <f t="shared" si="305"/>
        <v>-0.00610966759370264+0.032867886259437i</v>
      </c>
      <c r="AQ477" s="98">
        <f t="shared" si="306"/>
        <v>-29.517035092492179</v>
      </c>
      <c r="AR477" s="169">
        <f t="shared" si="307"/>
        <v>100.53027376483469</v>
      </c>
      <c r="AS477" s="168" t="e">
        <f t="shared" si="308"/>
        <v>#DIV/0!</v>
      </c>
      <c r="AT477" s="190" t="e">
        <f t="shared" si="309"/>
        <v>#DIV/0!</v>
      </c>
      <c r="AU477" s="169" t="e">
        <f t="shared" si="310"/>
        <v>#DIV/0!</v>
      </c>
      <c r="AV477" s="225"/>
      <c r="AX477" t="e">
        <f t="shared" si="311"/>
        <v>#DIV/0!</v>
      </c>
      <c r="AY477" t="e">
        <f t="shared" si="312"/>
        <v>#DIV/0!</v>
      </c>
    </row>
    <row r="478" spans="14:51" x14ac:dyDescent="0.25">
      <c r="N478" s="170">
        <v>60</v>
      </c>
      <c r="O478" s="199">
        <f t="shared" si="278"/>
        <v>398107.17055349716</v>
      </c>
      <c r="P478" s="189" t="str">
        <f t="shared" si="279"/>
        <v>290</v>
      </c>
      <c r="Q478" s="160" t="e">
        <f t="shared" si="280"/>
        <v>#DIV/0!</v>
      </c>
      <c r="R478" s="160" t="e">
        <f t="shared" si="288"/>
        <v>#DIV/0!</v>
      </c>
      <c r="S478" s="160" t="e">
        <f t="shared" si="289"/>
        <v>#DIV/0!</v>
      </c>
      <c r="T478" s="160" t="e">
        <f t="shared" si="281"/>
        <v>#DIV/0!</v>
      </c>
      <c r="U478" s="160" t="e">
        <f t="shared" si="290"/>
        <v>#DIV/0!</v>
      </c>
      <c r="V478" s="160" t="e">
        <f t="shared" si="291"/>
        <v>#DIV/0!</v>
      </c>
      <c r="W478" s="98" t="str">
        <f t="shared" si="282"/>
        <v>1-19.9328808374896i</v>
      </c>
      <c r="X478" s="160">
        <f t="shared" si="292"/>
        <v>19.957949255410991</v>
      </c>
      <c r="Y478" s="160">
        <f t="shared" si="293"/>
        <v>-1.5206699894172306</v>
      </c>
      <c r="Z478" s="98" t="str">
        <f t="shared" si="283"/>
        <v>-2.27457271169651+2.36698031666406i</v>
      </c>
      <c r="AA478" s="160">
        <f t="shared" si="294"/>
        <v>3.282723996967992</v>
      </c>
      <c r="AB478" s="160">
        <f t="shared" si="295"/>
        <v>2.3362883513544044</v>
      </c>
      <c r="AC478" s="171" t="e">
        <f t="shared" si="296"/>
        <v>#DIV/0!</v>
      </c>
      <c r="AD478" s="190" t="e">
        <f t="shared" si="297"/>
        <v>#DIV/0!</v>
      </c>
      <c r="AE478" s="169" t="e">
        <f t="shared" si="298"/>
        <v>#DIV/0!</v>
      </c>
      <c r="AF478" s="98" t="str">
        <f t="shared" si="284"/>
        <v>-0.0000182926829268293</v>
      </c>
      <c r="AG478" s="98" t="str">
        <f t="shared" si="285"/>
        <v>0.0555806885909356i</v>
      </c>
      <c r="AH478" s="98">
        <f t="shared" si="299"/>
        <v>5.5580688590935602E-2</v>
      </c>
      <c r="AI478" s="98">
        <f t="shared" si="300"/>
        <v>1.5707963267948966</v>
      </c>
      <c r="AJ478" s="98" t="str">
        <f t="shared" si="286"/>
        <v>1+5.44855294490104i</v>
      </c>
      <c r="AK478" s="98">
        <f t="shared" si="301"/>
        <v>5.539560379072495</v>
      </c>
      <c r="AL478" s="98">
        <f t="shared" si="302"/>
        <v>1.3892814797836393</v>
      </c>
      <c r="AM478" s="98" t="str">
        <f t="shared" si="287"/>
        <v>1+550.303847435005i</v>
      </c>
      <c r="AN478" s="98">
        <f t="shared" si="303"/>
        <v>550.30475602321417</v>
      </c>
      <c r="AO478" s="98">
        <f t="shared" si="304"/>
        <v>1.5689791508766264</v>
      </c>
      <c r="AP478" s="168" t="str">
        <f t="shared" si="305"/>
        <v>-0.00584364814288742+0.0321685456987259i</v>
      </c>
      <c r="AQ478" s="98">
        <f t="shared" si="306"/>
        <v>-29.710371008742172</v>
      </c>
      <c r="AR478" s="169">
        <f t="shared" si="307"/>
        <v>100.29591814195817</v>
      </c>
      <c r="AS478" s="168" t="e">
        <f t="shared" si="308"/>
        <v>#DIV/0!</v>
      </c>
      <c r="AT478" s="190" t="e">
        <f t="shared" si="309"/>
        <v>#DIV/0!</v>
      </c>
      <c r="AU478" s="169" t="e">
        <f t="shared" si="310"/>
        <v>#DIV/0!</v>
      </c>
      <c r="AV478" s="225"/>
      <c r="AX478" t="e">
        <f t="shared" si="311"/>
        <v>#DIV/0!</v>
      </c>
      <c r="AY478" t="e">
        <f t="shared" si="312"/>
        <v>#DIV/0!</v>
      </c>
    </row>
    <row r="479" spans="14:51" x14ac:dyDescent="0.25">
      <c r="N479" s="170">
        <v>61</v>
      </c>
      <c r="O479" s="199">
        <f t="shared" si="278"/>
        <v>407380.27780411334</v>
      </c>
      <c r="P479" s="189" t="str">
        <f t="shared" si="279"/>
        <v>290</v>
      </c>
      <c r="Q479" s="160" t="e">
        <f t="shared" si="280"/>
        <v>#DIV/0!</v>
      </c>
      <c r="R479" s="160" t="e">
        <f t="shared" si="288"/>
        <v>#DIV/0!</v>
      </c>
      <c r="S479" s="160" t="e">
        <f t="shared" si="289"/>
        <v>#DIV/0!</v>
      </c>
      <c r="T479" s="160" t="e">
        <f t="shared" si="281"/>
        <v>#DIV/0!</v>
      </c>
      <c r="U479" s="160" t="e">
        <f t="shared" si="290"/>
        <v>#DIV/0!</v>
      </c>
      <c r="V479" s="160" t="e">
        <f t="shared" si="291"/>
        <v>#DIV/0!</v>
      </c>
      <c r="W479" s="98" t="str">
        <f t="shared" si="282"/>
        <v>1-20.3971772769705i</v>
      </c>
      <c r="X479" s="160">
        <f t="shared" si="292"/>
        <v>20.421675760528608</v>
      </c>
      <c r="Y479" s="160">
        <f t="shared" si="293"/>
        <v>-1.5218091584133027</v>
      </c>
      <c r="Z479" s="98" t="str">
        <f t="shared" si="283"/>
        <v>-2.42889856908587+2.42211437090881i</v>
      </c>
      <c r="AA479" s="160">
        <f t="shared" si="294"/>
        <v>3.4301874999291755</v>
      </c>
      <c r="AB479" s="160">
        <f t="shared" si="295"/>
        <v>2.3575930009442354</v>
      </c>
      <c r="AC479" s="171" t="e">
        <f t="shared" si="296"/>
        <v>#DIV/0!</v>
      </c>
      <c r="AD479" s="190" t="e">
        <f t="shared" si="297"/>
        <v>#DIV/0!</v>
      </c>
      <c r="AE479" s="169" t="e">
        <f t="shared" si="298"/>
        <v>#DIV/0!</v>
      </c>
      <c r="AF479" s="98" t="str">
        <f t="shared" si="284"/>
        <v>-0.0000182926829268293</v>
      </c>
      <c r="AG479" s="98" t="str">
        <f t="shared" si="285"/>
        <v>0.0568753291412433i</v>
      </c>
      <c r="AH479" s="98">
        <f t="shared" si="299"/>
        <v>5.6875329141243297E-2</v>
      </c>
      <c r="AI479" s="98">
        <f t="shared" si="300"/>
        <v>1.5707963267948966</v>
      </c>
      <c r="AJ479" s="98" t="str">
        <f t="shared" si="286"/>
        <v>1+5.57546604658791i</v>
      </c>
      <c r="AK479" s="98">
        <f t="shared" si="301"/>
        <v>5.6644348029308818</v>
      </c>
      <c r="AL479" s="98">
        <f t="shared" si="302"/>
        <v>1.3933260814774615</v>
      </c>
      <c r="AM479" s="98" t="str">
        <f t="shared" si="287"/>
        <v>1+563.122070705378i</v>
      </c>
      <c r="AN479" s="98">
        <f t="shared" si="303"/>
        <v>563.1229586116275</v>
      </c>
      <c r="AO479" s="98">
        <f t="shared" si="304"/>
        <v>1.5690205147625647</v>
      </c>
      <c r="AP479" s="168" t="str">
        <f t="shared" si="305"/>
        <v>-0.0055888376521231+0.0314820022979353i</v>
      </c>
      <c r="AQ479" s="98">
        <f t="shared" si="306"/>
        <v>-29.903997296210548</v>
      </c>
      <c r="AR479" s="169">
        <f t="shared" si="307"/>
        <v>100.0665495111792</v>
      </c>
      <c r="AS479" s="168" t="e">
        <f t="shared" si="308"/>
        <v>#DIV/0!</v>
      </c>
      <c r="AT479" s="190" t="e">
        <f t="shared" si="309"/>
        <v>#DIV/0!</v>
      </c>
      <c r="AU479" s="169" t="e">
        <f t="shared" si="310"/>
        <v>#DIV/0!</v>
      </c>
      <c r="AV479" s="225"/>
      <c r="AX479" t="e">
        <f t="shared" si="311"/>
        <v>#DIV/0!</v>
      </c>
      <c r="AY479" t="e">
        <f t="shared" si="312"/>
        <v>#DIV/0!</v>
      </c>
    </row>
    <row r="480" spans="14:51" x14ac:dyDescent="0.25">
      <c r="N480" s="170">
        <v>62</v>
      </c>
      <c r="O480" s="199">
        <f t="shared" si="278"/>
        <v>416869.38347033598</v>
      </c>
      <c r="P480" s="189" t="str">
        <f t="shared" si="279"/>
        <v>290</v>
      </c>
      <c r="Q480" s="160" t="e">
        <f t="shared" si="280"/>
        <v>#DIV/0!</v>
      </c>
      <c r="R480" s="160" t="e">
        <f t="shared" si="288"/>
        <v>#DIV/0!</v>
      </c>
      <c r="S480" s="160" t="e">
        <f t="shared" si="289"/>
        <v>#DIV/0!</v>
      </c>
      <c r="T480" s="160" t="e">
        <f t="shared" si="281"/>
        <v>#DIV/0!</v>
      </c>
      <c r="U480" s="160" t="e">
        <f t="shared" si="290"/>
        <v>#DIV/0!</v>
      </c>
      <c r="V480" s="160" t="e">
        <f t="shared" si="291"/>
        <v>#DIV/0!</v>
      </c>
      <c r="W480" s="98" t="str">
        <f t="shared" si="282"/>
        <v>1-20.8722885698321i</v>
      </c>
      <c r="X480" s="160">
        <f t="shared" si="292"/>
        <v>20.896230046167272</v>
      </c>
      <c r="Y480" s="160">
        <f t="shared" si="293"/>
        <v>-1.5229225197244474</v>
      </c>
      <c r="Z480" s="98" t="str">
        <f t="shared" si="283"/>
        <v>-2.59049758006071+2.4785326622535i</v>
      </c>
      <c r="AA480" s="160">
        <f t="shared" si="294"/>
        <v>3.5852199193575025</v>
      </c>
      <c r="AB480" s="160">
        <f t="shared" si="295"/>
        <v>2.3782789342091473</v>
      </c>
      <c r="AC480" s="171" t="e">
        <f t="shared" si="296"/>
        <v>#DIV/0!</v>
      </c>
      <c r="AD480" s="190" t="e">
        <f t="shared" si="297"/>
        <v>#DIV/0!</v>
      </c>
      <c r="AE480" s="169" t="e">
        <f t="shared" si="298"/>
        <v>#DIV/0!</v>
      </c>
      <c r="AF480" s="98" t="str">
        <f t="shared" si="284"/>
        <v>-0.0000182926829268293</v>
      </c>
      <c r="AG480" s="98" t="str">
        <f t="shared" si="285"/>
        <v>0.0582001257438957i</v>
      </c>
      <c r="AH480" s="98">
        <f t="shared" si="299"/>
        <v>5.82001257438957E-2</v>
      </c>
      <c r="AI480" s="98">
        <f t="shared" si="300"/>
        <v>1.5707963267948966</v>
      </c>
      <c r="AJ480" s="98" t="str">
        <f t="shared" si="286"/>
        <v>1+5.7053353341727i</v>
      </c>
      <c r="AK480" s="98">
        <f t="shared" si="301"/>
        <v>5.7923096667356715</v>
      </c>
      <c r="AL480" s="98">
        <f t="shared" si="302"/>
        <v>1.3972842951790296</v>
      </c>
      <c r="AM480" s="98" t="str">
        <f t="shared" si="287"/>
        <v>1+576.238868751442i</v>
      </c>
      <c r="AN480" s="98">
        <f t="shared" si="303"/>
        <v>576.23973644650857</v>
      </c>
      <c r="AO480" s="98">
        <f t="shared" si="304"/>
        <v>1.5690609370973787</v>
      </c>
      <c r="AP480" s="168" t="str">
        <f t="shared" si="305"/>
        <v>-0.00534479577255736+0.0308081587628179i</v>
      </c>
      <c r="AQ480" s="98">
        <f t="shared" si="306"/>
        <v>-30.097901701734546</v>
      </c>
      <c r="AR480" s="169">
        <f t="shared" si="307"/>
        <v>99.842076600851428</v>
      </c>
      <c r="AS480" s="168" t="e">
        <f t="shared" si="308"/>
        <v>#DIV/0!</v>
      </c>
      <c r="AT480" s="190" t="e">
        <f t="shared" si="309"/>
        <v>#DIV/0!</v>
      </c>
      <c r="AU480" s="169" t="e">
        <f t="shared" si="310"/>
        <v>#DIV/0!</v>
      </c>
      <c r="AV480" s="225"/>
      <c r="AX480" t="e">
        <f t="shared" si="311"/>
        <v>#DIV/0!</v>
      </c>
      <c r="AY480" t="e">
        <f t="shared" si="312"/>
        <v>#DIV/0!</v>
      </c>
    </row>
    <row r="481" spans="14:51" x14ac:dyDescent="0.25">
      <c r="N481" s="170">
        <v>63</v>
      </c>
      <c r="O481" s="199">
        <f t="shared" si="278"/>
        <v>426579.51880159322</v>
      </c>
      <c r="P481" s="189" t="str">
        <f t="shared" si="279"/>
        <v>290</v>
      </c>
      <c r="Q481" s="160" t="e">
        <f t="shared" si="280"/>
        <v>#DIV/0!</v>
      </c>
      <c r="R481" s="160" t="e">
        <f t="shared" si="288"/>
        <v>#DIV/0!</v>
      </c>
      <c r="S481" s="160" t="e">
        <f t="shared" si="289"/>
        <v>#DIV/0!</v>
      </c>
      <c r="T481" s="160" t="e">
        <f t="shared" si="281"/>
        <v>#DIV/0!</v>
      </c>
      <c r="U481" s="160" t="e">
        <f t="shared" si="290"/>
        <v>#DIV/0!</v>
      </c>
      <c r="V481" s="160" t="e">
        <f t="shared" si="291"/>
        <v>#DIV/0!</v>
      </c>
      <c r="W481" s="98" t="str">
        <f t="shared" si="282"/>
        <v>1-21.3584666263709i</v>
      </c>
      <c r="X481" s="160">
        <f t="shared" si="292"/>
        <v>21.381863731438369</v>
      </c>
      <c r="Y481" s="160">
        <f t="shared" si="293"/>
        <v>-1.5240106526225505</v>
      </c>
      <c r="Z481" s="98" t="str">
        <f t="shared" si="283"/>
        <v>-2.75971251778924+2.53626510442296i</v>
      </c>
      <c r="AA481" s="160">
        <f t="shared" si="294"/>
        <v>3.7481533934400595</v>
      </c>
      <c r="AB481" s="160">
        <f t="shared" si="295"/>
        <v>2.3983613912294701</v>
      </c>
      <c r="AC481" s="171" t="e">
        <f t="shared" si="296"/>
        <v>#DIV/0!</v>
      </c>
      <c r="AD481" s="190" t="e">
        <f t="shared" si="297"/>
        <v>#DIV/0!</v>
      </c>
      <c r="AE481" s="169" t="e">
        <f t="shared" si="298"/>
        <v>#DIV/0!</v>
      </c>
      <c r="AF481" s="98" t="str">
        <f t="shared" si="284"/>
        <v>-0.0000182926829268293</v>
      </c>
      <c r="AG481" s="98" t="str">
        <f t="shared" si="285"/>
        <v>0.0595557808235871i</v>
      </c>
      <c r="AH481" s="98">
        <f t="shared" si="299"/>
        <v>5.9555780823587097E-2</v>
      </c>
      <c r="AI481" s="98">
        <f t="shared" si="300"/>
        <v>1.5707963267948966</v>
      </c>
      <c r="AJ481" s="98" t="str">
        <f t="shared" si="286"/>
        <v>1+5.8382296660707i</v>
      </c>
      <c r="AK481" s="98">
        <f t="shared" si="301"/>
        <v>5.9232529604760256</v>
      </c>
      <c r="AL481" s="98">
        <f t="shared" si="302"/>
        <v>1.4011577232184134</v>
      </c>
      <c r="AM481" s="98" t="str">
        <f t="shared" si="287"/>
        <v>1+589.66119627314i</v>
      </c>
      <c r="AN481" s="98">
        <f t="shared" si="303"/>
        <v>589.66204421708414</v>
      </c>
      <c r="AO481" s="98">
        <f t="shared" si="304"/>
        <v>1.5691004393129968</v>
      </c>
      <c r="AP481" s="168" t="str">
        <f t="shared" si="305"/>
        <v>-0.00511109671241681+0.0301469085488896i</v>
      </c>
      <c r="AQ481" s="98">
        <f t="shared" si="306"/>
        <v>-30.29207245507612</v>
      </c>
      <c r="AR481" s="169">
        <f t="shared" si="307"/>
        <v>99.622408832183439</v>
      </c>
      <c r="AS481" s="168" t="e">
        <f t="shared" si="308"/>
        <v>#DIV/0!</v>
      </c>
      <c r="AT481" s="190" t="e">
        <f t="shared" si="309"/>
        <v>#DIV/0!</v>
      </c>
      <c r="AU481" s="169" t="e">
        <f t="shared" si="310"/>
        <v>#DIV/0!</v>
      </c>
      <c r="AV481" s="225"/>
      <c r="AX481" t="e">
        <f t="shared" si="311"/>
        <v>#DIV/0!</v>
      </c>
      <c r="AY481" t="e">
        <f t="shared" si="312"/>
        <v>#DIV/0!</v>
      </c>
    </row>
    <row r="482" spans="14:51" x14ac:dyDescent="0.25">
      <c r="N482" s="170">
        <v>64</v>
      </c>
      <c r="O482" s="199">
        <f t="shared" si="278"/>
        <v>436515.83224016649</v>
      </c>
      <c r="P482" s="189" t="str">
        <f t="shared" si="279"/>
        <v>290</v>
      </c>
      <c r="Q482" s="160" t="e">
        <f t="shared" si="280"/>
        <v>#DIV/0!</v>
      </c>
      <c r="R482" s="160" t="e">
        <f t="shared" si="288"/>
        <v>#DIV/0!</v>
      </c>
      <c r="S482" s="160" t="e">
        <f t="shared" si="289"/>
        <v>#DIV/0!</v>
      </c>
      <c r="T482" s="160" t="e">
        <f t="shared" si="281"/>
        <v>#DIV/0!</v>
      </c>
      <c r="U482" s="160" t="e">
        <f t="shared" si="290"/>
        <v>#DIV/0!</v>
      </c>
      <c r="V482" s="160" t="e">
        <f t="shared" si="291"/>
        <v>#DIV/0!</v>
      </c>
      <c r="W482" s="98" t="str">
        <f t="shared" si="282"/>
        <v>1-21.8559692246277i</v>
      </c>
      <c r="X482" s="160">
        <f t="shared" si="292"/>
        <v>21.878834309621549</v>
      </c>
      <c r="Y482" s="160">
        <f t="shared" si="293"/>
        <v>-1.525074123737133</v>
      </c>
      <c r="Z482" s="98" t="str">
        <f t="shared" si="283"/>
        <v>-2.93690230984142+2.59534230792223i</v>
      </c>
      <c r="AA482" s="160">
        <f t="shared" si="294"/>
        <v>3.9193362796324269</v>
      </c>
      <c r="AB482" s="160">
        <f t="shared" si="295"/>
        <v>2.4178560811131469</v>
      </c>
      <c r="AC482" s="171" t="e">
        <f t="shared" si="296"/>
        <v>#DIV/0!</v>
      </c>
      <c r="AD482" s="190" t="e">
        <f t="shared" si="297"/>
        <v>#DIV/0!</v>
      </c>
      <c r="AE482" s="169" t="e">
        <f t="shared" si="298"/>
        <v>#DIV/0!</v>
      </c>
      <c r="AF482" s="98" t="str">
        <f t="shared" si="284"/>
        <v>-0.0000182926829268293</v>
      </c>
      <c r="AG482" s="98" t="str">
        <f t="shared" si="285"/>
        <v>0.0609430131665852i</v>
      </c>
      <c r="AH482" s="98">
        <f t="shared" si="299"/>
        <v>6.0943013166585201E-2</v>
      </c>
      <c r="AI482" s="98">
        <f t="shared" si="300"/>
        <v>1.5707963267948966</v>
      </c>
      <c r="AJ482" s="98" t="str">
        <f t="shared" si="286"/>
        <v>1+5.97421950461574i</v>
      </c>
      <c r="AK482" s="98">
        <f t="shared" si="301"/>
        <v>6.0573342890524993</v>
      </c>
      <c r="AL482" s="98">
        <f t="shared" si="302"/>
        <v>1.4049479541881309</v>
      </c>
      <c r="AM482" s="98" t="str">
        <f t="shared" si="287"/>
        <v>1+603.396169966189i</v>
      </c>
      <c r="AN482" s="98">
        <f t="shared" si="303"/>
        <v>603.39699860859923</v>
      </c>
      <c r="AO482" s="98">
        <f t="shared" si="304"/>
        <v>1.5691390423535232</v>
      </c>
      <c r="AP482" s="168" t="str">
        <f t="shared" si="305"/>
        <v>-0.00488732899809797+0.0294981366869112i</v>
      </c>
      <c r="AQ482" s="98">
        <f t="shared" si="306"/>
        <v>-30.486498252820027</v>
      </c>
      <c r="AR482" s="169">
        <f t="shared" si="307"/>
        <v>99.407456385537401</v>
      </c>
      <c r="AS482" s="168" t="e">
        <f t="shared" si="308"/>
        <v>#DIV/0!</v>
      </c>
      <c r="AT482" s="190" t="e">
        <f t="shared" si="309"/>
        <v>#DIV/0!</v>
      </c>
      <c r="AU482" s="169" t="e">
        <f t="shared" si="310"/>
        <v>#DIV/0!</v>
      </c>
      <c r="AV482" s="225"/>
      <c r="AX482" t="e">
        <f t="shared" si="311"/>
        <v>#DIV/0!</v>
      </c>
      <c r="AY482" t="e">
        <f t="shared" si="312"/>
        <v>#DIV/0!</v>
      </c>
    </row>
    <row r="483" spans="14:51" x14ac:dyDescent="0.25">
      <c r="N483" s="170">
        <v>65</v>
      </c>
      <c r="O483" s="199">
        <f t="shared" si="278"/>
        <v>446683.59215096442</v>
      </c>
      <c r="P483" s="189" t="str">
        <f t="shared" si="279"/>
        <v>290</v>
      </c>
      <c r="Q483" s="160" t="e">
        <f t="shared" si="280"/>
        <v>#DIV/0!</v>
      </c>
      <c r="R483" s="160" t="e">
        <f t="shared" si="288"/>
        <v>#DIV/0!</v>
      </c>
      <c r="S483" s="160" t="e">
        <f t="shared" si="289"/>
        <v>#DIV/0!</v>
      </c>
      <c r="T483" s="160" t="e">
        <f t="shared" si="281"/>
        <v>#DIV/0!</v>
      </c>
      <c r="U483" s="160" t="e">
        <f t="shared" si="290"/>
        <v>#DIV/0!</v>
      </c>
      <c r="V483" s="160" t="e">
        <f t="shared" si="291"/>
        <v>#DIV/0!</v>
      </c>
      <c r="W483" s="98" t="str">
        <f t="shared" si="282"/>
        <v>1-22.3650601470654i</v>
      </c>
      <c r="X483" s="160">
        <f t="shared" si="292"/>
        <v>22.387405284709814</v>
      </c>
      <c r="Y483" s="160">
        <f t="shared" si="293"/>
        <v>-1.5261134873071454</v>
      </c>
      <c r="Z483" s="98" t="str">
        <f t="shared" si="283"/>
        <v>-3.12244279952251+2.65579559626659i</v>
      </c>
      <c r="AA483" s="160">
        <f t="shared" si="294"/>
        <v>4.0991339677350114</v>
      </c>
      <c r="AB483" s="160">
        <f t="shared" si="295"/>
        <v>2.4367790245782612</v>
      </c>
      <c r="AC483" s="171" t="e">
        <f t="shared" si="296"/>
        <v>#DIV/0!</v>
      </c>
      <c r="AD483" s="190" t="e">
        <f t="shared" si="297"/>
        <v>#DIV/0!</v>
      </c>
      <c r="AE483" s="169" t="e">
        <f t="shared" si="298"/>
        <v>#DIV/0!</v>
      </c>
      <c r="AF483" s="98" t="str">
        <f t="shared" si="284"/>
        <v>-0.0000182926829268293</v>
      </c>
      <c r="AG483" s="98" t="str">
        <f t="shared" si="285"/>
        <v>0.0623625583018405i</v>
      </c>
      <c r="AH483" s="98">
        <f t="shared" si="299"/>
        <v>6.2362558301840502E-2</v>
      </c>
      <c r="AI483" s="98">
        <f t="shared" si="300"/>
        <v>1.5707963267948966</v>
      </c>
      <c r="AJ483" s="98" t="str">
        <f t="shared" si="286"/>
        <v>1+6.11337695342031i</v>
      </c>
      <c r="AK483" s="98">
        <f t="shared" si="301"/>
        <v>6.194624909920746</v>
      </c>
      <c r="AL483" s="98">
        <f t="shared" si="302"/>
        <v>1.4086565619007352</v>
      </c>
      <c r="AM483" s="98" t="str">
        <f t="shared" si="287"/>
        <v>1+617.45107229545i</v>
      </c>
      <c r="AN483" s="98">
        <f t="shared" si="303"/>
        <v>617.45188207568128</v>
      </c>
      <c r="AO483" s="98">
        <f t="shared" si="304"/>
        <v>1.5691767666863405</v>
      </c>
      <c r="AP483" s="168" t="str">
        <f t="shared" si="305"/>
        <v>-0.00467309521500839+0.0288617205633198i</v>
      </c>
      <c r="AQ483" s="98">
        <f t="shared" si="306"/>
        <v>-30.681168242550193</v>
      </c>
      <c r="AR483" s="169">
        <f t="shared" si="307"/>
        <v>99.197130260790857</v>
      </c>
      <c r="AS483" s="168" t="e">
        <f t="shared" si="308"/>
        <v>#DIV/0!</v>
      </c>
      <c r="AT483" s="190" t="e">
        <f t="shared" si="309"/>
        <v>#DIV/0!</v>
      </c>
      <c r="AU483" s="169" t="e">
        <f t="shared" si="310"/>
        <v>#DIV/0!</v>
      </c>
      <c r="AV483" s="225"/>
      <c r="AX483" t="e">
        <f t="shared" si="311"/>
        <v>#DIV/0!</v>
      </c>
      <c r="AY483" t="e">
        <f t="shared" si="312"/>
        <v>#DIV/0!</v>
      </c>
    </row>
    <row r="484" spans="14:51" x14ac:dyDescent="0.25">
      <c r="N484" s="170">
        <v>66</v>
      </c>
      <c r="O484" s="199">
        <f t="shared" ref="O484:O518" si="313">10^(5+(N484/100))</f>
        <v>457088.18961487547</v>
      </c>
      <c r="P484" s="189" t="str">
        <f t="shared" si="279"/>
        <v>290</v>
      </c>
      <c r="Q484" s="160" t="e">
        <f t="shared" si="280"/>
        <v>#DIV/0!</v>
      </c>
      <c r="R484" s="160" t="e">
        <f t="shared" si="288"/>
        <v>#DIV/0!</v>
      </c>
      <c r="S484" s="160" t="e">
        <f t="shared" si="289"/>
        <v>#DIV/0!</v>
      </c>
      <c r="T484" s="160" t="e">
        <f t="shared" si="281"/>
        <v>#DIV/0!</v>
      </c>
      <c r="U484" s="160" t="e">
        <f t="shared" si="290"/>
        <v>#DIV/0!</v>
      </c>
      <c r="V484" s="160" t="e">
        <f t="shared" si="291"/>
        <v>#DIV/0!</v>
      </c>
      <c r="W484" s="98" t="str">
        <f t="shared" si="282"/>
        <v>1-22.8860093204295i</v>
      </c>
      <c r="X484" s="160">
        <f t="shared" si="292"/>
        <v>22.907846311139465</v>
      </c>
      <c r="Y484" s="160">
        <f t="shared" si="293"/>
        <v>-1.5271292854293963</v>
      </c>
      <c r="Z484" s="98" t="str">
        <f t="shared" si="283"/>
        <v>-3.31672754308686+2.71765702258968i</v>
      </c>
      <c r="AA484" s="160">
        <f t="shared" si="294"/>
        <v>4.2879297204480862</v>
      </c>
      <c r="AB484" s="160">
        <f t="shared" si="295"/>
        <v>2.4551464170004369</v>
      </c>
      <c r="AC484" s="171" t="e">
        <f t="shared" si="296"/>
        <v>#DIV/0!</v>
      </c>
      <c r="AD484" s="190" t="e">
        <f t="shared" si="297"/>
        <v>#DIV/0!</v>
      </c>
      <c r="AE484" s="169" t="e">
        <f t="shared" si="298"/>
        <v>#DIV/0!</v>
      </c>
      <c r="AF484" s="98" t="str">
        <f t="shared" si="284"/>
        <v>-0.0000182926829268293</v>
      </c>
      <c r="AG484" s="98" t="str">
        <f t="shared" si="285"/>
        <v>0.0638151688909732i</v>
      </c>
      <c r="AH484" s="98">
        <f t="shared" si="299"/>
        <v>6.3815168890973203E-2</v>
      </c>
      <c r="AI484" s="98">
        <f t="shared" si="300"/>
        <v>1.5707963267948966</v>
      </c>
      <c r="AJ484" s="98" t="str">
        <f t="shared" si="286"/>
        <v>1+6.25577579560565i</v>
      </c>
      <c r="AK484" s="98">
        <f t="shared" si="301"/>
        <v>6.3351977715684216</v>
      </c>
      <c r="AL484" s="98">
        <f t="shared" si="302"/>
        <v>1.4122851044440434</v>
      </c>
      <c r="AM484" s="98" t="str">
        <f t="shared" si="287"/>
        <v>1+631.833355356169i</v>
      </c>
      <c r="AN484" s="98">
        <f t="shared" si="303"/>
        <v>631.83414670357524</v>
      </c>
      <c r="AO484" s="98">
        <f t="shared" si="304"/>
        <v>1.5692136323129597</v>
      </c>
      <c r="AP484" s="168" t="str">
        <f t="shared" si="305"/>
        <v>-0.00446801173113669+0.0282375306569991i</v>
      </c>
      <c r="AQ484" s="98">
        <f t="shared" si="306"/>
        <v>-30.876072007324762</v>
      </c>
      <c r="AR484" s="169">
        <f t="shared" si="307"/>
        <v>98.991342332090014</v>
      </c>
      <c r="AS484" s="168" t="e">
        <f t="shared" si="308"/>
        <v>#DIV/0!</v>
      </c>
      <c r="AT484" s="190" t="e">
        <f t="shared" si="309"/>
        <v>#DIV/0!</v>
      </c>
      <c r="AU484" s="169" t="e">
        <f t="shared" si="310"/>
        <v>#DIV/0!</v>
      </c>
      <c r="AV484" s="225"/>
      <c r="AX484" t="e">
        <f t="shared" si="311"/>
        <v>#DIV/0!</v>
      </c>
      <c r="AY484" t="e">
        <f t="shared" si="312"/>
        <v>#DIV/0!</v>
      </c>
    </row>
    <row r="485" spans="14:51" x14ac:dyDescent="0.25">
      <c r="N485" s="170">
        <v>67</v>
      </c>
      <c r="O485" s="199">
        <f t="shared" si="313"/>
        <v>467735.14128719864</v>
      </c>
      <c r="P485" s="189" t="str">
        <f t="shared" si="279"/>
        <v>290</v>
      </c>
      <c r="Q485" s="160" t="e">
        <f t="shared" si="280"/>
        <v>#DIV/0!</v>
      </c>
      <c r="R485" s="160" t="e">
        <f t="shared" si="288"/>
        <v>#DIV/0!</v>
      </c>
      <c r="S485" s="160" t="e">
        <f t="shared" si="289"/>
        <v>#DIV/0!</v>
      </c>
      <c r="T485" s="160" t="e">
        <f t="shared" si="281"/>
        <v>#DIV/0!</v>
      </c>
      <c r="U485" s="160" t="e">
        <f t="shared" si="290"/>
        <v>#DIV/0!</v>
      </c>
      <c r="V485" s="160" t="e">
        <f t="shared" si="291"/>
        <v>#DIV/0!</v>
      </c>
      <c r="W485" s="98" t="str">
        <f t="shared" si="282"/>
        <v>1-23.4190929588675i</v>
      </c>
      <c r="X485" s="160">
        <f t="shared" si="292"/>
        <v>23.440433336781069</v>
      </c>
      <c r="Y485" s="160">
        <f t="shared" si="293"/>
        <v>-1.5281220483035456</v>
      </c>
      <c r="Z485" s="98" t="str">
        <f t="shared" si="283"/>
        <v>-3.52016864452386+2.78095938663859i</v>
      </c>
      <c r="AA485" s="160">
        <f t="shared" si="294"/>
        <v>4.4861255439434862</v>
      </c>
      <c r="AB485" s="160">
        <f t="shared" si="295"/>
        <v>2.4729745103802347</v>
      </c>
      <c r="AC485" s="171" t="e">
        <f t="shared" si="296"/>
        <v>#DIV/0!</v>
      </c>
      <c r="AD485" s="190" t="e">
        <f t="shared" si="297"/>
        <v>#DIV/0!</v>
      </c>
      <c r="AE485" s="169" t="e">
        <f t="shared" si="298"/>
        <v>#DIV/0!</v>
      </c>
      <c r="AF485" s="98" t="str">
        <f t="shared" si="284"/>
        <v>-0.0000182926829268293</v>
      </c>
      <c r="AG485" s="98" t="str">
        <f t="shared" si="285"/>
        <v>0.0653016151273457i</v>
      </c>
      <c r="AH485" s="98">
        <f t="shared" si="299"/>
        <v>6.5301615127345697E-2</v>
      </c>
      <c r="AI485" s="98">
        <f t="shared" si="300"/>
        <v>1.5707963267948966</v>
      </c>
      <c r="AJ485" s="98" t="str">
        <f t="shared" si="286"/>
        <v>1+6.40149153292281i</v>
      </c>
      <c r="AK485" s="98">
        <f t="shared" si="301"/>
        <v>6.4791275528486425</v>
      </c>
      <c r="AL485" s="98">
        <f t="shared" si="302"/>
        <v>1.4158351233285056</v>
      </c>
      <c r="AM485" s="98" t="str">
        <f t="shared" si="287"/>
        <v>1+646.550644825203i</v>
      </c>
      <c r="AN485" s="98">
        <f t="shared" si="303"/>
        <v>646.55141815936474</v>
      </c>
      <c r="AO485" s="98">
        <f t="shared" si="304"/>
        <v>1.5692496587796227</v>
      </c>
      <c r="AP485" s="168" t="str">
        <f t="shared" si="305"/>
        <v>-0.00427170840608737+0.0276254312338413i</v>
      </c>
      <c r="AQ485" s="98">
        <f t="shared" si="306"/>
        <v>-31.071199550467679</v>
      </c>
      <c r="AR485" s="169">
        <f t="shared" si="307"/>
        <v>98.79000539730913</v>
      </c>
      <c r="AS485" s="168" t="e">
        <f t="shared" si="308"/>
        <v>#DIV/0!</v>
      </c>
      <c r="AT485" s="190" t="e">
        <f t="shared" si="309"/>
        <v>#DIV/0!</v>
      </c>
      <c r="AU485" s="169" t="e">
        <f t="shared" si="310"/>
        <v>#DIV/0!</v>
      </c>
      <c r="AV485" s="225"/>
      <c r="AX485" t="e">
        <f t="shared" si="311"/>
        <v>#DIV/0!</v>
      </c>
      <c r="AY485" t="e">
        <f t="shared" si="312"/>
        <v>#DIV/0!</v>
      </c>
    </row>
    <row r="486" spans="14:51" x14ac:dyDescent="0.25">
      <c r="N486" s="170">
        <v>68</v>
      </c>
      <c r="O486" s="199">
        <f t="shared" si="313"/>
        <v>478630.09232263872</v>
      </c>
      <c r="P486" s="189" t="str">
        <f t="shared" si="279"/>
        <v>290</v>
      </c>
      <c r="Q486" s="160" t="e">
        <f t="shared" si="280"/>
        <v>#DIV/0!</v>
      </c>
      <c r="R486" s="160" t="e">
        <f t="shared" si="288"/>
        <v>#DIV/0!</v>
      </c>
      <c r="S486" s="160" t="e">
        <f t="shared" si="289"/>
        <v>#DIV/0!</v>
      </c>
      <c r="T486" s="160" t="e">
        <f t="shared" si="281"/>
        <v>#DIV/0!</v>
      </c>
      <c r="U486" s="160" t="e">
        <f t="shared" si="290"/>
        <v>#DIV/0!</v>
      </c>
      <c r="V486" s="160" t="e">
        <f t="shared" si="291"/>
        <v>#DIV/0!</v>
      </c>
      <c r="W486" s="98" t="str">
        <f t="shared" si="282"/>
        <v>1-23.9645937103807i</v>
      </c>
      <c r="X486" s="160">
        <f t="shared" si="292"/>
        <v>23.985448749265004</v>
      </c>
      <c r="Y486" s="160">
        <f t="shared" si="293"/>
        <v>-1.5290922944735887</v>
      </c>
      <c r="Z486" s="98" t="str">
        <f t="shared" si="283"/>
        <v>-3.73319762968548+2.84573625216466i</v>
      </c>
      <c r="AA486" s="160">
        <f t="shared" si="294"/>
        <v>4.6941430910415853</v>
      </c>
      <c r="AB486" s="160">
        <f t="shared" si="295"/>
        <v>2.4902795126112842</v>
      </c>
      <c r="AC486" s="171" t="e">
        <f t="shared" si="296"/>
        <v>#DIV/0!</v>
      </c>
      <c r="AD486" s="190" t="e">
        <f t="shared" si="297"/>
        <v>#DIV/0!</v>
      </c>
      <c r="AE486" s="169" t="e">
        <f t="shared" si="298"/>
        <v>#DIV/0!</v>
      </c>
      <c r="AF486" s="98" t="str">
        <f t="shared" si="284"/>
        <v>-0.0000182926829268293</v>
      </c>
      <c r="AG486" s="98" t="str">
        <f t="shared" si="285"/>
        <v>0.0668226851444277i</v>
      </c>
      <c r="AH486" s="98">
        <f t="shared" si="299"/>
        <v>6.6822685144427699E-2</v>
      </c>
      <c r="AI486" s="98">
        <f t="shared" si="300"/>
        <v>1.5707963267948966</v>
      </c>
      <c r="AJ486" s="98" t="str">
        <f t="shared" si="286"/>
        <v>1+6.5506014257845i</v>
      </c>
      <c r="AK486" s="98">
        <f t="shared" si="301"/>
        <v>6.6264907031919948</v>
      </c>
      <c r="AL486" s="98">
        <f t="shared" si="302"/>
        <v>1.4193081427213616</v>
      </c>
      <c r="AM486" s="98" t="str">
        <f t="shared" si="287"/>
        <v>1+661.610744004234i</v>
      </c>
      <c r="AN486" s="98">
        <f t="shared" si="303"/>
        <v>661.6114997351815</v>
      </c>
      <c r="AO486" s="98">
        <f t="shared" si="304"/>
        <v>1.5692848651876647</v>
      </c>
      <c r="AP486" s="168" t="str">
        <f t="shared" si="305"/>
        <v>-0.00408382828809043+0.0270252810006026i</v>
      </c>
      <c r="AQ486" s="98">
        <f t="shared" si="306"/>
        <v>-31.266541280691587</v>
      </c>
      <c r="AR486" s="169">
        <f t="shared" si="307"/>
        <v>98.593033222524028</v>
      </c>
      <c r="AS486" s="168" t="e">
        <f t="shared" si="308"/>
        <v>#DIV/0!</v>
      </c>
      <c r="AT486" s="190" t="e">
        <f t="shared" si="309"/>
        <v>#DIV/0!</v>
      </c>
      <c r="AU486" s="169" t="e">
        <f t="shared" si="310"/>
        <v>#DIV/0!</v>
      </c>
      <c r="AV486" s="225"/>
      <c r="AX486" t="e">
        <f t="shared" si="311"/>
        <v>#DIV/0!</v>
      </c>
      <c r="AY486" t="e">
        <f t="shared" si="312"/>
        <v>#DIV/0!</v>
      </c>
    </row>
    <row r="487" spans="14:51" x14ac:dyDescent="0.25">
      <c r="N487" s="170">
        <v>69</v>
      </c>
      <c r="O487" s="199">
        <f t="shared" si="313"/>
        <v>489778.81936844654</v>
      </c>
      <c r="P487" s="189" t="str">
        <f t="shared" si="279"/>
        <v>290</v>
      </c>
      <c r="Q487" s="160" t="e">
        <f t="shared" si="280"/>
        <v>#DIV/0!</v>
      </c>
      <c r="R487" s="160" t="e">
        <f t="shared" si="288"/>
        <v>#DIV/0!</v>
      </c>
      <c r="S487" s="160" t="e">
        <f t="shared" si="289"/>
        <v>#DIV/0!</v>
      </c>
      <c r="T487" s="160" t="e">
        <f t="shared" si="281"/>
        <v>#DIV/0!</v>
      </c>
      <c r="U487" s="160" t="e">
        <f t="shared" si="290"/>
        <v>#DIV/0!</v>
      </c>
      <c r="V487" s="160" t="e">
        <f t="shared" si="291"/>
        <v>#DIV/0!</v>
      </c>
      <c r="W487" s="98" t="str">
        <f t="shared" si="282"/>
        <v>1-24.5228008066881i</v>
      </c>
      <c r="X487" s="160">
        <f t="shared" si="292"/>
        <v>24.543181525721202</v>
      </c>
      <c r="Y487" s="160">
        <f t="shared" si="293"/>
        <v>-1.5300405310657799</v>
      </c>
      <c r="Z487" s="98" t="str">
        <f t="shared" si="283"/>
        <v>-3.95626636161053+2.91202196471939i</v>
      </c>
      <c r="AA487" s="160">
        <f t="shared" si="294"/>
        <v>4.9124245996268678</v>
      </c>
      <c r="AB487" s="160">
        <f t="shared" si="295"/>
        <v>2.5070775024154672</v>
      </c>
      <c r="AC487" s="171" t="e">
        <f t="shared" si="296"/>
        <v>#DIV/0!</v>
      </c>
      <c r="AD487" s="190" t="e">
        <f t="shared" si="297"/>
        <v>#DIV/0!</v>
      </c>
      <c r="AE487" s="169" t="e">
        <f t="shared" si="298"/>
        <v>#DIV/0!</v>
      </c>
      <c r="AF487" s="98" t="str">
        <f t="shared" si="284"/>
        <v>-0.0000182926829268293</v>
      </c>
      <c r="AG487" s="98" t="str">
        <f t="shared" si="285"/>
        <v>0.0683791854336761i</v>
      </c>
      <c r="AH487" s="98">
        <f t="shared" si="299"/>
        <v>6.8379185433676104E-2</v>
      </c>
      <c r="AI487" s="98">
        <f t="shared" si="300"/>
        <v>1.5707963267948966</v>
      </c>
      <c r="AJ487" s="98" t="str">
        <f t="shared" si="286"/>
        <v>1+6.7031845342296i</v>
      </c>
      <c r="AK487" s="98">
        <f t="shared" si="301"/>
        <v>6.777365483721157</v>
      </c>
      <c r="AL487" s="98">
        <f t="shared" si="302"/>
        <v>1.4227056687624688</v>
      </c>
      <c r="AM487" s="98" t="str">
        <f t="shared" si="287"/>
        <v>1+677.021637957189i</v>
      </c>
      <c r="AN487" s="98">
        <f t="shared" si="303"/>
        <v>677.02237648561879</v>
      </c>
      <c r="AO487" s="98">
        <f t="shared" si="304"/>
        <v>1.5693192702036403</v>
      </c>
      <c r="AP487" s="168" t="str">
        <f t="shared" si="305"/>
        <v>-0.00390402730127693+0.0264369337195868i</v>
      </c>
      <c r="AQ487" s="98">
        <f t="shared" si="306"/>
        <v>-31.462087997564399</v>
      </c>
      <c r="AR487" s="169">
        <f t="shared" si="307"/>
        <v>98.400340581792292</v>
      </c>
      <c r="AS487" s="168" t="e">
        <f t="shared" si="308"/>
        <v>#DIV/0!</v>
      </c>
      <c r="AT487" s="190" t="e">
        <f t="shared" si="309"/>
        <v>#DIV/0!</v>
      </c>
      <c r="AU487" s="169" t="e">
        <f t="shared" si="310"/>
        <v>#DIV/0!</v>
      </c>
      <c r="AV487" s="225"/>
      <c r="AX487" t="e">
        <f t="shared" si="311"/>
        <v>#DIV/0!</v>
      </c>
      <c r="AY487" t="e">
        <f t="shared" si="312"/>
        <v>#DIV/0!</v>
      </c>
    </row>
    <row r="488" spans="14:51" x14ac:dyDescent="0.25">
      <c r="N488" s="170">
        <v>70</v>
      </c>
      <c r="O488" s="199">
        <f t="shared" si="313"/>
        <v>501187.23362727347</v>
      </c>
      <c r="P488" s="189" t="str">
        <f t="shared" si="279"/>
        <v>290</v>
      </c>
      <c r="Q488" s="160" t="e">
        <f t="shared" si="280"/>
        <v>#DIV/0!</v>
      </c>
      <c r="R488" s="160" t="e">
        <f t="shared" si="288"/>
        <v>#DIV/0!</v>
      </c>
      <c r="S488" s="160" t="e">
        <f t="shared" si="289"/>
        <v>#DIV/0!</v>
      </c>
      <c r="T488" s="160" t="e">
        <f t="shared" si="281"/>
        <v>#DIV/0!</v>
      </c>
      <c r="U488" s="160" t="e">
        <f t="shared" si="290"/>
        <v>#DIV/0!</v>
      </c>
      <c r="V488" s="160" t="e">
        <f t="shared" si="291"/>
        <v>#DIV/0!</v>
      </c>
      <c r="W488" s="98" t="str">
        <f t="shared" si="282"/>
        <v>1-25.0940102165808i</v>
      </c>
      <c r="X488" s="160">
        <f t="shared" si="292"/>
        <v>25.113927386011561</v>
      </c>
      <c r="Y488" s="160">
        <f t="shared" si="293"/>
        <v>-1.5309672540229484</v>
      </c>
      <c r="Z488" s="98" t="str">
        <f t="shared" si="283"/>
        <v>-4.18984799898677+2.979851669865i</v>
      </c>
      <c r="AA488" s="160">
        <f t="shared" si="294"/>
        <v>5.1414338689718333</v>
      </c>
      <c r="AB488" s="160">
        <f t="shared" si="295"/>
        <v>2.5233843583415503</v>
      </c>
      <c r="AC488" s="171" t="e">
        <f t="shared" si="296"/>
        <v>#DIV/0!</v>
      </c>
      <c r="AD488" s="190" t="e">
        <f t="shared" si="297"/>
        <v>#DIV/0!</v>
      </c>
      <c r="AE488" s="169" t="e">
        <f t="shared" si="298"/>
        <v>#DIV/0!</v>
      </c>
      <c r="AF488" s="98" t="str">
        <f t="shared" si="284"/>
        <v>-0.0000182926829268293</v>
      </c>
      <c r="AG488" s="98" t="str">
        <f t="shared" si="285"/>
        <v>0.0699719412721471i</v>
      </c>
      <c r="AH488" s="98">
        <f t="shared" si="299"/>
        <v>6.9971941272147106E-2</v>
      </c>
      <c r="AI488" s="98">
        <f t="shared" si="300"/>
        <v>1.5707963267948966</v>
      </c>
      <c r="AJ488" s="98" t="str">
        <f t="shared" si="286"/>
        <v>1+6.8593217598419i</v>
      </c>
      <c r="AK488" s="98">
        <f t="shared" si="301"/>
        <v>6.9318320092916688</v>
      </c>
      <c r="AL488" s="98">
        <f t="shared" si="302"/>
        <v>1.4260291889568575</v>
      </c>
      <c r="AM488" s="98" t="str">
        <f t="shared" si="287"/>
        <v>1+692.791497744031i</v>
      </c>
      <c r="AN488" s="98">
        <f t="shared" si="303"/>
        <v>692.79221946151904</v>
      </c>
      <c r="AO488" s="98">
        <f t="shared" si="304"/>
        <v>1.5693528920692179</v>
      </c>
      <c r="AP488" s="168" t="str">
        <f t="shared" si="305"/>
        <v>-0.00373197392530953+0.025860238785714i</v>
      </c>
      <c r="AQ488" s="98">
        <f t="shared" si="306"/>
        <v>-31.657830877328507</v>
      </c>
      <c r="AR488" s="169">
        <f t="shared" si="307"/>
        <v>98.211843292524264</v>
      </c>
      <c r="AS488" s="168" t="e">
        <f t="shared" si="308"/>
        <v>#DIV/0!</v>
      </c>
      <c r="AT488" s="190" t="e">
        <f t="shared" si="309"/>
        <v>#DIV/0!</v>
      </c>
      <c r="AU488" s="169" t="e">
        <f t="shared" si="310"/>
        <v>#DIV/0!</v>
      </c>
      <c r="AV488" s="225"/>
      <c r="AX488" t="e">
        <f t="shared" si="311"/>
        <v>#DIV/0!</v>
      </c>
      <c r="AY488" t="e">
        <f t="shared" si="312"/>
        <v>#DIV/0!</v>
      </c>
    </row>
    <row r="489" spans="14:51" x14ac:dyDescent="0.25">
      <c r="N489" s="170">
        <v>71</v>
      </c>
      <c r="O489" s="199">
        <f t="shared" si="313"/>
        <v>512861.38399136515</v>
      </c>
      <c r="P489" s="189" t="str">
        <f t="shared" si="279"/>
        <v>290</v>
      </c>
      <c r="Q489" s="160" t="e">
        <f t="shared" si="280"/>
        <v>#DIV/0!</v>
      </c>
      <c r="R489" s="160" t="e">
        <f t="shared" si="288"/>
        <v>#DIV/0!</v>
      </c>
      <c r="S489" s="160" t="e">
        <f t="shared" si="289"/>
        <v>#DIV/0!</v>
      </c>
      <c r="T489" s="160" t="e">
        <f t="shared" si="281"/>
        <v>#DIV/0!</v>
      </c>
      <c r="U489" s="160" t="e">
        <f t="shared" si="290"/>
        <v>#DIV/0!</v>
      </c>
      <c r="V489" s="160" t="e">
        <f t="shared" si="291"/>
        <v>#DIV/0!</v>
      </c>
      <c r="W489" s="98" t="str">
        <f t="shared" si="282"/>
        <v>1-25.6785248028486i</v>
      </c>
      <c r="X489" s="160">
        <f t="shared" si="292"/>
        <v>25.697988949536704</v>
      </c>
      <c r="Y489" s="160">
        <f t="shared" si="293"/>
        <v>-1.5318729483351701</v>
      </c>
      <c r="Z489" s="98" t="str">
        <f t="shared" si="283"/>
        <v>-4.43443799978382+3.04926133180894i</v>
      </c>
      <c r="AA489" s="160">
        <f t="shared" si="294"/>
        <v>5.381657276675277</v>
      </c>
      <c r="AB489" s="160">
        <f t="shared" si="295"/>
        <v>2.539215700286773</v>
      </c>
      <c r="AC489" s="171" t="e">
        <f t="shared" si="296"/>
        <v>#DIV/0!</v>
      </c>
      <c r="AD489" s="190" t="e">
        <f t="shared" si="297"/>
        <v>#DIV/0!</v>
      </c>
      <c r="AE489" s="169" t="e">
        <f t="shared" si="298"/>
        <v>#DIV/0!</v>
      </c>
      <c r="AF489" s="98" t="str">
        <f t="shared" si="284"/>
        <v>-0.0000182926829268293</v>
      </c>
      <c r="AG489" s="98" t="str">
        <f t="shared" si="285"/>
        <v>0.0716017971600685i</v>
      </c>
      <c r="AH489" s="98">
        <f t="shared" si="299"/>
        <v>7.1601797160068495E-2</v>
      </c>
      <c r="AI489" s="98">
        <f t="shared" si="300"/>
        <v>1.5707963267948966</v>
      </c>
      <c r="AJ489" s="98" t="str">
        <f t="shared" si="286"/>
        <v>1+7.01909588864508i</v>
      </c>
      <c r="AK489" s="98">
        <f t="shared" si="301"/>
        <v>7.0899722914828285</v>
      </c>
      <c r="AL489" s="98">
        <f t="shared" si="302"/>
        <v>1.4292801716392807</v>
      </c>
      <c r="AM489" s="98" t="str">
        <f t="shared" si="287"/>
        <v>1+708.928684753152i</v>
      </c>
      <c r="AN489" s="98">
        <f t="shared" si="303"/>
        <v>708.92939004236086</v>
      </c>
      <c r="AO489" s="98">
        <f t="shared" si="304"/>
        <v>1.569385748610852</v>
      </c>
      <c r="AP489" s="168" t="str">
        <f t="shared" si="305"/>
        <v>-0.00356734886926374+0.0252950417675335i</v>
      </c>
      <c r="AQ489" s="98">
        <f t="shared" si="306"/>
        <v>-31.853761459081269</v>
      </c>
      <c r="AR489" s="169">
        <f t="shared" si="307"/>
        <v>98.027458246716336</v>
      </c>
      <c r="AS489" s="168" t="e">
        <f t="shared" si="308"/>
        <v>#DIV/0!</v>
      </c>
      <c r="AT489" s="190" t="e">
        <f t="shared" si="309"/>
        <v>#DIV/0!</v>
      </c>
      <c r="AU489" s="169" t="e">
        <f t="shared" si="310"/>
        <v>#DIV/0!</v>
      </c>
      <c r="AV489" s="225"/>
      <c r="AX489" t="e">
        <f t="shared" si="311"/>
        <v>#DIV/0!</v>
      </c>
      <c r="AY489" t="e">
        <f t="shared" si="312"/>
        <v>#DIV/0!</v>
      </c>
    </row>
    <row r="490" spans="14:51" x14ac:dyDescent="0.25">
      <c r="N490" s="170">
        <v>72</v>
      </c>
      <c r="O490" s="199">
        <f t="shared" si="313"/>
        <v>524807.46024977288</v>
      </c>
      <c r="P490" s="189" t="str">
        <f t="shared" si="279"/>
        <v>290</v>
      </c>
      <c r="Q490" s="160" t="e">
        <f t="shared" si="280"/>
        <v>#DIV/0!</v>
      </c>
      <c r="R490" s="160" t="e">
        <f t="shared" si="288"/>
        <v>#DIV/0!</v>
      </c>
      <c r="S490" s="160" t="e">
        <f t="shared" si="289"/>
        <v>#DIV/0!</v>
      </c>
      <c r="T490" s="160" t="e">
        <f t="shared" si="281"/>
        <v>#DIV/0!</v>
      </c>
      <c r="U490" s="160" t="e">
        <f t="shared" si="290"/>
        <v>#DIV/0!</v>
      </c>
      <c r="V490" s="160" t="e">
        <f t="shared" si="291"/>
        <v>#DIV/0!</v>
      </c>
      <c r="W490" s="98" t="str">
        <f t="shared" si="282"/>
        <v>1-26.2766544828626i</v>
      </c>
      <c r="X490" s="160">
        <f t="shared" si="292"/>
        <v>26.29567589570086</v>
      </c>
      <c r="Y490" s="160">
        <f t="shared" si="293"/>
        <v>-1.5327580882667684</v>
      </c>
      <c r="Z490" s="98" t="str">
        <f t="shared" si="283"/>
        <v>-4.69055517218629+3.12028775247278i</v>
      </c>
      <c r="AA490" s="160">
        <f t="shared" si="294"/>
        <v>5.6336048389601476</v>
      </c>
      <c r="AB490" s="160">
        <f t="shared" si="295"/>
        <v>2.5545868420863433</v>
      </c>
      <c r="AC490" s="171" t="e">
        <f t="shared" si="296"/>
        <v>#DIV/0!</v>
      </c>
      <c r="AD490" s="190" t="e">
        <f t="shared" si="297"/>
        <v>#DIV/0!</v>
      </c>
      <c r="AE490" s="169" t="e">
        <f t="shared" si="298"/>
        <v>#DIV/0!</v>
      </c>
      <c r="AF490" s="98" t="str">
        <f t="shared" si="284"/>
        <v>-0.0000182926829268293</v>
      </c>
      <c r="AG490" s="98" t="str">
        <f t="shared" si="285"/>
        <v>0.0732696172686061i</v>
      </c>
      <c r="AH490" s="98">
        <f t="shared" si="299"/>
        <v>7.3269617268606105E-2</v>
      </c>
      <c r="AI490" s="98">
        <f t="shared" si="300"/>
        <v>1.5707963267948966</v>
      </c>
      <c r="AJ490" s="98" t="str">
        <f t="shared" si="286"/>
        <v>1+7.18259163499717i</v>
      </c>
      <c r="AK490" s="98">
        <f t="shared" si="301"/>
        <v>7.2518702825637558</v>
      </c>
      <c r="AL490" s="98">
        <f t="shared" si="302"/>
        <v>1.4324600655062267</v>
      </c>
      <c r="AM490" s="98" t="str">
        <f t="shared" si="287"/>
        <v>1+725.441755134714i</v>
      </c>
      <c r="AN490" s="98">
        <f t="shared" si="303"/>
        <v>725.44244436959582</v>
      </c>
      <c r="AO490" s="98">
        <f t="shared" si="304"/>
        <v>1.5694178572492314</v>
      </c>
      <c r="AP490" s="168" t="str">
        <f t="shared" si="305"/>
        <v>-0.00340984474147651+0.0247411849137458i</v>
      </c>
      <c r="AQ490" s="98">
        <f t="shared" si="306"/>
        <v>-32.049871631320748</v>
      </c>
      <c r="AR490" s="169">
        <f t="shared" si="307"/>
        <v>97.847103438305837</v>
      </c>
      <c r="AS490" s="168" t="e">
        <f t="shared" si="308"/>
        <v>#DIV/0!</v>
      </c>
      <c r="AT490" s="190" t="e">
        <f t="shared" si="309"/>
        <v>#DIV/0!</v>
      </c>
      <c r="AU490" s="169" t="e">
        <f t="shared" si="310"/>
        <v>#DIV/0!</v>
      </c>
      <c r="AV490" s="225"/>
      <c r="AX490" t="e">
        <f t="shared" si="311"/>
        <v>#DIV/0!</v>
      </c>
      <c r="AY490" t="e">
        <f t="shared" si="312"/>
        <v>#DIV/0!</v>
      </c>
    </row>
    <row r="491" spans="14:51" x14ac:dyDescent="0.25">
      <c r="N491" s="170">
        <v>73</v>
      </c>
      <c r="O491" s="199">
        <f t="shared" si="313"/>
        <v>537031.7963702539</v>
      </c>
      <c r="P491" s="189" t="str">
        <f t="shared" si="279"/>
        <v>290</v>
      </c>
      <c r="Q491" s="160" t="e">
        <f t="shared" si="280"/>
        <v>#DIV/0!</v>
      </c>
      <c r="R491" s="160" t="e">
        <f t="shared" si="288"/>
        <v>#DIV/0!</v>
      </c>
      <c r="S491" s="160" t="e">
        <f t="shared" si="289"/>
        <v>#DIV/0!</v>
      </c>
      <c r="T491" s="160" t="e">
        <f t="shared" si="281"/>
        <v>#DIV/0!</v>
      </c>
      <c r="U491" s="160" t="e">
        <f t="shared" si="290"/>
        <v>#DIV/0!</v>
      </c>
      <c r="V491" s="160" t="e">
        <f t="shared" si="291"/>
        <v>#DIV/0!</v>
      </c>
      <c r="W491" s="98" t="str">
        <f t="shared" si="282"/>
        <v>1-26.888716392896i</v>
      </c>
      <c r="X491" s="160">
        <f t="shared" si="292"/>
        <v>26.907305128117052</v>
      </c>
      <c r="Y491" s="160">
        <f t="shared" si="293"/>
        <v>-1.5336231375796223</v>
      </c>
      <c r="Z491" s="98" t="str">
        <f t="shared" si="283"/>
        <v>-4.95874277505498+3.19296859100486i</v>
      </c>
      <c r="AA491" s="160">
        <f t="shared" si="294"/>
        <v>5.8978113171161661</v>
      </c>
      <c r="AB491" s="160">
        <f t="shared" si="295"/>
        <v>2.5695127538156908</v>
      </c>
      <c r="AC491" s="171" t="e">
        <f t="shared" si="296"/>
        <v>#DIV/0!</v>
      </c>
      <c r="AD491" s="190" t="e">
        <f t="shared" si="297"/>
        <v>#DIV/0!</v>
      </c>
      <c r="AE491" s="169" t="e">
        <f t="shared" si="298"/>
        <v>#DIV/0!</v>
      </c>
      <c r="AF491" s="98" t="str">
        <f t="shared" si="284"/>
        <v>-0.0000182926829268293</v>
      </c>
      <c r="AG491" s="98" t="str">
        <f t="shared" si="285"/>
        <v>0.0749762858980577i</v>
      </c>
      <c r="AH491" s="98">
        <f t="shared" si="299"/>
        <v>7.4976285898057701E-2</v>
      </c>
      <c r="AI491" s="98">
        <f t="shared" si="300"/>
        <v>1.5707963267948966</v>
      </c>
      <c r="AJ491" s="98" t="str">
        <f t="shared" si="286"/>
        <v>1+7.34989568650698i</v>
      </c>
      <c r="AK491" s="98">
        <f t="shared" si="301"/>
        <v>7.4176119204588966</v>
      </c>
      <c r="AL491" s="98">
        <f t="shared" si="302"/>
        <v>1.4355702992110515</v>
      </c>
      <c r="AM491" s="98" t="str">
        <f t="shared" si="287"/>
        <v>1+742.339464337204i</v>
      </c>
      <c r="AN491" s="98">
        <f t="shared" si="303"/>
        <v>742.34013788319908</v>
      </c>
      <c r="AO491" s="98">
        <f t="shared" si="304"/>
        <v>1.5694492350085165</v>
      </c>
      <c r="AP491" s="168" t="str">
        <f t="shared" si="305"/>
        <v>-0.00325916571691025+0.0241985076267769i</v>
      </c>
      <c r="AQ491" s="98">
        <f t="shared" si="306"/>
        <v>-32.24615361886211</v>
      </c>
      <c r="AR491" s="169">
        <f t="shared" si="307"/>
        <v>97.670697986897679</v>
      </c>
      <c r="AS491" s="168" t="e">
        <f t="shared" si="308"/>
        <v>#DIV/0!</v>
      </c>
      <c r="AT491" s="190" t="e">
        <f t="shared" si="309"/>
        <v>#DIV/0!</v>
      </c>
      <c r="AU491" s="169" t="e">
        <f t="shared" si="310"/>
        <v>#DIV/0!</v>
      </c>
      <c r="AV491" s="225"/>
      <c r="AX491" t="e">
        <f t="shared" si="311"/>
        <v>#DIV/0!</v>
      </c>
      <c r="AY491" t="e">
        <f t="shared" si="312"/>
        <v>#DIV/0!</v>
      </c>
    </row>
    <row r="492" spans="14:51" x14ac:dyDescent="0.25">
      <c r="N492" s="170">
        <v>74</v>
      </c>
      <c r="O492" s="199">
        <f t="shared" si="313"/>
        <v>549540.87385762564</v>
      </c>
      <c r="P492" s="189" t="str">
        <f t="shared" si="279"/>
        <v>290</v>
      </c>
      <c r="Q492" s="160" t="e">
        <f t="shared" si="280"/>
        <v>#DIV/0!</v>
      </c>
      <c r="R492" s="160" t="e">
        <f t="shared" si="288"/>
        <v>#DIV/0!</v>
      </c>
      <c r="S492" s="160" t="e">
        <f t="shared" si="289"/>
        <v>#DIV/0!</v>
      </c>
      <c r="T492" s="160" t="e">
        <f t="shared" si="281"/>
        <v>#DIV/0!</v>
      </c>
      <c r="U492" s="160" t="e">
        <f t="shared" si="290"/>
        <v>#DIV/0!</v>
      </c>
      <c r="V492" s="160" t="e">
        <f t="shared" si="291"/>
        <v>#DIV/0!</v>
      </c>
      <c r="W492" s="98" t="str">
        <f t="shared" si="282"/>
        <v>1-27.5150350562751i</v>
      </c>
      <c r="X492" s="160">
        <f t="shared" si="292"/>
        <v>27.53320094264464</v>
      </c>
      <c r="Y492" s="160">
        <f t="shared" si="293"/>
        <v>-1.5344685497527688</v>
      </c>
      <c r="Z492" s="98" t="str">
        <f t="shared" si="283"/>
        <v>-5.23956967025213+3.26734238374782i</v>
      </c>
      <c r="AA492" s="160">
        <f t="shared" si="294"/>
        <v>6.1748373729241557</v>
      </c>
      <c r="AB492" s="160">
        <f t="shared" si="295"/>
        <v>2.5840080325581809</v>
      </c>
      <c r="AC492" s="171" t="e">
        <f t="shared" si="296"/>
        <v>#DIV/0!</v>
      </c>
      <c r="AD492" s="190" t="e">
        <f t="shared" si="297"/>
        <v>#DIV/0!</v>
      </c>
      <c r="AE492" s="169" t="e">
        <f t="shared" si="298"/>
        <v>#DIV/0!</v>
      </c>
      <c r="AF492" s="98" t="str">
        <f t="shared" si="284"/>
        <v>-0.0000182926829268293</v>
      </c>
      <c r="AG492" s="98" t="str">
        <f t="shared" si="285"/>
        <v>0.0767227079467207i</v>
      </c>
      <c r="AH492" s="98">
        <f t="shared" si="299"/>
        <v>7.6722707946720703E-2</v>
      </c>
      <c r="AI492" s="98">
        <f t="shared" si="300"/>
        <v>1.5707963267948966</v>
      </c>
      <c r="AJ492" s="98" t="str">
        <f t="shared" si="286"/>
        <v>1+7.52109674999712i</v>
      </c>
      <c r="AK492" s="98">
        <f t="shared" si="301"/>
        <v>7.5872851747391996</v>
      </c>
      <c r="AL492" s="98">
        <f t="shared" si="302"/>
        <v>1.4386122810181032</v>
      </c>
      <c r="AM492" s="98" t="str">
        <f t="shared" si="287"/>
        <v>1+759.630771749709i</v>
      </c>
      <c r="AN492" s="98">
        <f t="shared" si="303"/>
        <v>759.63142996393879</v>
      </c>
      <c r="AO492" s="98">
        <f t="shared" si="304"/>
        <v>1.5694798985253633</v>
      </c>
      <c r="AP492" s="168" t="str">
        <f t="shared" si="305"/>
        <v>-0.00311502720342361+0.0236668469049423i</v>
      </c>
      <c r="AQ492" s="98">
        <f t="shared" si="306"/>
        <v>-32.442599970124256</v>
      </c>
      <c r="AR492" s="169">
        <f t="shared" si="307"/>
        <v>97.498162158098367</v>
      </c>
      <c r="AS492" s="168" t="e">
        <f t="shared" si="308"/>
        <v>#DIV/0!</v>
      </c>
      <c r="AT492" s="190" t="e">
        <f t="shared" si="309"/>
        <v>#DIV/0!</v>
      </c>
      <c r="AU492" s="169" t="e">
        <f t="shared" si="310"/>
        <v>#DIV/0!</v>
      </c>
      <c r="AV492" s="225"/>
      <c r="AX492" t="e">
        <f t="shared" si="311"/>
        <v>#DIV/0!</v>
      </c>
      <c r="AY492" t="e">
        <f t="shared" si="312"/>
        <v>#DIV/0!</v>
      </c>
    </row>
    <row r="493" spans="14:51" x14ac:dyDescent="0.25">
      <c r="N493" s="170">
        <v>75</v>
      </c>
      <c r="O493" s="199">
        <f t="shared" si="313"/>
        <v>562341.32519035018</v>
      </c>
      <c r="P493" s="189" t="str">
        <f t="shared" si="279"/>
        <v>290</v>
      </c>
      <c r="Q493" s="160" t="e">
        <f t="shared" si="280"/>
        <v>#DIV/0!</v>
      </c>
      <c r="R493" s="160" t="e">
        <f t="shared" si="288"/>
        <v>#DIV/0!</v>
      </c>
      <c r="S493" s="160" t="e">
        <f t="shared" si="289"/>
        <v>#DIV/0!</v>
      </c>
      <c r="T493" s="160" t="e">
        <f t="shared" si="281"/>
        <v>#DIV/0!</v>
      </c>
      <c r="U493" s="160" t="e">
        <f t="shared" si="290"/>
        <v>#DIV/0!</v>
      </c>
      <c r="V493" s="160" t="e">
        <f t="shared" si="291"/>
        <v>#DIV/0!</v>
      </c>
      <c r="W493" s="98" t="str">
        <f t="shared" si="282"/>
        <v>1-28.1559425554456i</v>
      </c>
      <c r="X493" s="160">
        <f t="shared" si="292"/>
        <v>28.173695199344234</v>
      </c>
      <c r="Y493" s="160">
        <f t="shared" si="293"/>
        <v>-1.5352947681982974</v>
      </c>
      <c r="Z493" s="98" t="str">
        <f t="shared" si="283"/>
        <v>-5.53363152927353+3.34344856467105i</v>
      </c>
      <c r="AA493" s="160">
        <f t="shared" si="294"/>
        <v>6.4652707759513843</v>
      </c>
      <c r="AB493" s="160">
        <f t="shared" si="295"/>
        <v>2.5980868805015542</v>
      </c>
      <c r="AC493" s="171" t="e">
        <f t="shared" si="296"/>
        <v>#DIV/0!</v>
      </c>
      <c r="AD493" s="190" t="e">
        <f t="shared" si="297"/>
        <v>#DIV/0!</v>
      </c>
      <c r="AE493" s="169" t="e">
        <f t="shared" si="298"/>
        <v>#DIV/0!</v>
      </c>
      <c r="AF493" s="98" t="str">
        <f t="shared" si="284"/>
        <v>-0.0000182926829268293</v>
      </c>
      <c r="AG493" s="98" t="str">
        <f t="shared" si="285"/>
        <v>0.0785098093906822i</v>
      </c>
      <c r="AH493" s="98">
        <f t="shared" si="299"/>
        <v>7.8509809390682195E-2</v>
      </c>
      <c r="AI493" s="98">
        <f t="shared" si="300"/>
        <v>1.5707963267948966</v>
      </c>
      <c r="AJ493" s="98" t="str">
        <f t="shared" si="286"/>
        <v>1+7.69628559853763i</v>
      </c>
      <c r="AK493" s="98">
        <f t="shared" si="301"/>
        <v>7.7609800936645712</v>
      </c>
      <c r="AL493" s="98">
        <f t="shared" si="302"/>
        <v>1.441587398511895</v>
      </c>
      <c r="AM493" s="98" t="str">
        <f t="shared" si="287"/>
        <v>1+777.324845452299i</v>
      </c>
      <c r="AN493" s="98">
        <f t="shared" si="303"/>
        <v>777.32548868375636</v>
      </c>
      <c r="AO493" s="98">
        <f t="shared" si="304"/>
        <v>1.5695098640577434</v>
      </c>
      <c r="AP493" s="168" t="str">
        <f t="shared" si="305"/>
        <v>-0.00297715550819368+0.0231460377546953i</v>
      </c>
      <c r="AQ493" s="98">
        <f t="shared" si="306"/>
        <v>-32.639203544790334</v>
      </c>
      <c r="AR493" s="169">
        <f t="shared" si="307"/>
        <v>97.329417380684831</v>
      </c>
      <c r="AS493" s="168" t="e">
        <f t="shared" si="308"/>
        <v>#DIV/0!</v>
      </c>
      <c r="AT493" s="190" t="e">
        <f t="shared" si="309"/>
        <v>#DIV/0!</v>
      </c>
      <c r="AU493" s="169" t="e">
        <f t="shared" si="310"/>
        <v>#DIV/0!</v>
      </c>
      <c r="AV493" s="225"/>
      <c r="AX493" t="e">
        <f t="shared" si="311"/>
        <v>#DIV/0!</v>
      </c>
      <c r="AY493" t="e">
        <f t="shared" si="312"/>
        <v>#DIV/0!</v>
      </c>
    </row>
    <row r="494" spans="14:51" x14ac:dyDescent="0.25">
      <c r="N494" s="170">
        <v>76</v>
      </c>
      <c r="O494" s="199">
        <f t="shared" si="313"/>
        <v>575439.93733715697</v>
      </c>
      <c r="P494" s="189" t="str">
        <f t="shared" si="279"/>
        <v>290</v>
      </c>
      <c r="Q494" s="160" t="e">
        <f t="shared" si="280"/>
        <v>#DIV/0!</v>
      </c>
      <c r="R494" s="160" t="e">
        <f t="shared" si="288"/>
        <v>#DIV/0!</v>
      </c>
      <c r="S494" s="160" t="e">
        <f t="shared" si="289"/>
        <v>#DIV/0!</v>
      </c>
      <c r="T494" s="160" t="e">
        <f t="shared" si="281"/>
        <v>#DIV/0!</v>
      </c>
      <c r="U494" s="160" t="e">
        <f t="shared" si="290"/>
        <v>#DIV/0!</v>
      </c>
      <c r="V494" s="160" t="e">
        <f t="shared" si="291"/>
        <v>#DIV/0!</v>
      </c>
      <c r="W494" s="98" t="str">
        <f t="shared" si="282"/>
        <v>1-28.8117787080469i</v>
      </c>
      <c r="X494" s="160">
        <f t="shared" si="292"/>
        <v>28.829127498442698</v>
      </c>
      <c r="Y494" s="160">
        <f t="shared" si="293"/>
        <v>-1.5361022264735296</v>
      </c>
      <c r="Z494" s="98" t="str">
        <f t="shared" si="283"/>
        <v>-5.84155209674778+3.42132748627902i</v>
      </c>
      <c r="AA494" s="160">
        <f t="shared" si="294"/>
        <v>6.7697276656736118</v>
      </c>
      <c r="AB494" s="160">
        <f t="shared" si="295"/>
        <v>2.611763089336343</v>
      </c>
      <c r="AC494" s="171" t="e">
        <f t="shared" si="296"/>
        <v>#DIV/0!</v>
      </c>
      <c r="AD494" s="190" t="e">
        <f t="shared" si="297"/>
        <v>#DIV/0!</v>
      </c>
      <c r="AE494" s="169" t="e">
        <f t="shared" si="298"/>
        <v>#DIV/0!</v>
      </c>
      <c r="AF494" s="98" t="str">
        <f t="shared" si="284"/>
        <v>-0.0000182926829268293</v>
      </c>
      <c r="AG494" s="98" t="str">
        <f t="shared" si="285"/>
        <v>0.0803385377747827i</v>
      </c>
      <c r="AH494" s="98">
        <f t="shared" si="299"/>
        <v>8.0338537774782698E-2</v>
      </c>
      <c r="AI494" s="98">
        <f t="shared" si="300"/>
        <v>1.5707963267948966</v>
      </c>
      <c r="AJ494" s="98" t="str">
        <f t="shared" si="286"/>
        <v>1+7.87555511957483i</v>
      </c>
      <c r="AK494" s="98">
        <f t="shared" si="301"/>
        <v>7.9387888523036896</v>
      </c>
      <c r="AL494" s="98">
        <f t="shared" si="302"/>
        <v>1.4444970183575696</v>
      </c>
      <c r="AM494" s="98" t="str">
        <f t="shared" si="287"/>
        <v>1+795.431067077057i</v>
      </c>
      <c r="AN494" s="98">
        <f t="shared" si="303"/>
        <v>795.43169566679046</v>
      </c>
      <c r="AO494" s="98">
        <f t="shared" si="304"/>
        <v>1.5695391474935634</v>
      </c>
      <c r="AP494" s="168" t="str">
        <f t="shared" si="305"/>
        <v>-0.00284528750540042+0.0226359135744438i</v>
      </c>
      <c r="AQ494" s="98">
        <f t="shared" si="306"/>
        <v>-32.835957501837754</v>
      </c>
      <c r="AR494" s="169">
        <f t="shared" si="307"/>
        <v>97.164386260822269</v>
      </c>
      <c r="AS494" s="168" t="e">
        <f t="shared" si="308"/>
        <v>#DIV/0!</v>
      </c>
      <c r="AT494" s="190" t="e">
        <f t="shared" si="309"/>
        <v>#DIV/0!</v>
      </c>
      <c r="AU494" s="169" t="e">
        <f t="shared" si="310"/>
        <v>#DIV/0!</v>
      </c>
      <c r="AV494" s="225"/>
      <c r="AX494" t="e">
        <f t="shared" si="311"/>
        <v>#DIV/0!</v>
      </c>
      <c r="AY494" t="e">
        <f t="shared" si="312"/>
        <v>#DIV/0!</v>
      </c>
    </row>
    <row r="495" spans="14:51" x14ac:dyDescent="0.25">
      <c r="N495" s="170">
        <v>77</v>
      </c>
      <c r="O495" s="199">
        <f t="shared" si="313"/>
        <v>588843.65535558888</v>
      </c>
      <c r="P495" s="189" t="str">
        <f t="shared" si="279"/>
        <v>290</v>
      </c>
      <c r="Q495" s="160" t="e">
        <f t="shared" si="280"/>
        <v>#DIV/0!</v>
      </c>
      <c r="R495" s="160" t="e">
        <f t="shared" si="288"/>
        <v>#DIV/0!</v>
      </c>
      <c r="S495" s="160" t="e">
        <f t="shared" si="289"/>
        <v>#DIV/0!</v>
      </c>
      <c r="T495" s="160" t="e">
        <f t="shared" si="281"/>
        <v>#DIV/0!</v>
      </c>
      <c r="U495" s="160" t="e">
        <f t="shared" si="290"/>
        <v>#DIV/0!</v>
      </c>
      <c r="V495" s="160" t="e">
        <f t="shared" si="291"/>
        <v>#DIV/0!</v>
      </c>
      <c r="W495" s="98" t="str">
        <f t="shared" si="282"/>
        <v>1-29.4828912470882i</v>
      </c>
      <c r="X495" s="160">
        <f t="shared" si="292"/>
        <v>29.499845360401974</v>
      </c>
      <c r="Y495" s="160">
        <f t="shared" si="293"/>
        <v>-1.5368913484894946</v>
      </c>
      <c r="Z495" s="98" t="str">
        <f t="shared" si="283"/>
        <v>-6.16398451348207+3.50102044100685i</v>
      </c>
      <c r="AA495" s="160">
        <f t="shared" si="294"/>
        <v>7.0888538714516187</v>
      </c>
      <c r="AB495" s="160">
        <f t="shared" si="295"/>
        <v>2.6250500300357356</v>
      </c>
      <c r="AC495" s="171" t="e">
        <f t="shared" si="296"/>
        <v>#DIV/0!</v>
      </c>
      <c r="AD495" s="190" t="e">
        <f t="shared" si="297"/>
        <v>#DIV/0!</v>
      </c>
      <c r="AE495" s="169" t="e">
        <f t="shared" si="298"/>
        <v>#DIV/0!</v>
      </c>
      <c r="AF495" s="98" t="str">
        <f t="shared" si="284"/>
        <v>-0.0000182926829268293</v>
      </c>
      <c r="AG495" s="98" t="str">
        <f t="shared" si="285"/>
        <v>0.0822098627150178i</v>
      </c>
      <c r="AH495" s="98">
        <f t="shared" si="299"/>
        <v>8.2209862715017804E-2</v>
      </c>
      <c r="AI495" s="98">
        <f t="shared" si="300"/>
        <v>1.5707963267948966</v>
      </c>
      <c r="AJ495" s="98" t="str">
        <f t="shared" si="286"/>
        <v>1+8.05900036418174i</v>
      </c>
      <c r="AK495" s="98">
        <f t="shared" si="301"/>
        <v>8.1208058017589249</v>
      </c>
      <c r="AL495" s="98">
        <f t="shared" si="302"/>
        <v>1.4473424861091031</v>
      </c>
      <c r="AM495" s="98" t="str">
        <f t="shared" si="287"/>
        <v>1+813.959036782354i</v>
      </c>
      <c r="AN495" s="98">
        <f t="shared" si="303"/>
        <v>813.95965106364906</v>
      </c>
      <c r="AO495" s="98">
        <f t="shared" si="304"/>
        <v>1.5695677643590877</v>
      </c>
      <c r="AP495" s="168" t="str">
        <f t="shared" si="305"/>
        <v>-0.00271917030615672+0.0221363065113622i</v>
      </c>
      <c r="AQ495" s="98">
        <f t="shared" si="306"/>
        <v>-33.032855287939647</v>
      </c>
      <c r="AR495" s="169">
        <f t="shared" si="307"/>
        <v>97.002992593536263</v>
      </c>
      <c r="AS495" s="168" t="e">
        <f t="shared" si="308"/>
        <v>#DIV/0!</v>
      </c>
      <c r="AT495" s="190" t="e">
        <f t="shared" si="309"/>
        <v>#DIV/0!</v>
      </c>
      <c r="AU495" s="169" t="e">
        <f t="shared" si="310"/>
        <v>#DIV/0!</v>
      </c>
      <c r="AV495" s="225"/>
      <c r="AX495" t="e">
        <f t="shared" si="311"/>
        <v>#DIV/0!</v>
      </c>
      <c r="AY495" t="e">
        <f t="shared" si="312"/>
        <v>#DIV/0!</v>
      </c>
    </row>
    <row r="496" spans="14:51" x14ac:dyDescent="0.25">
      <c r="N496" s="170">
        <v>78</v>
      </c>
      <c r="O496" s="199">
        <f t="shared" si="313"/>
        <v>602559.58607435878</v>
      </c>
      <c r="P496" s="189" t="str">
        <f t="shared" si="279"/>
        <v>290</v>
      </c>
      <c r="Q496" s="160" t="e">
        <f t="shared" si="280"/>
        <v>#DIV/0!</v>
      </c>
      <c r="R496" s="160" t="e">
        <f t="shared" si="288"/>
        <v>#DIV/0!</v>
      </c>
      <c r="S496" s="160" t="e">
        <f t="shared" si="289"/>
        <v>#DIV/0!</v>
      </c>
      <c r="T496" s="160" t="e">
        <f t="shared" si="281"/>
        <v>#DIV/0!</v>
      </c>
      <c r="U496" s="160" t="e">
        <f t="shared" si="290"/>
        <v>#DIV/0!</v>
      </c>
      <c r="V496" s="160" t="e">
        <f t="shared" si="291"/>
        <v>#DIV/0!</v>
      </c>
      <c r="W496" s="98" t="str">
        <f t="shared" si="282"/>
        <v>1-30.169636005321i</v>
      </c>
      <c r="X496" s="160">
        <f t="shared" si="292"/>
        <v>30.18620441018647</v>
      </c>
      <c r="Y496" s="160">
        <f t="shared" si="293"/>
        <v>-1.5376625487157085</v>
      </c>
      <c r="Z496" s="98" t="str">
        <f t="shared" si="283"/>
        <v>-6.50161270186159+3.58256968311398i</v>
      </c>
      <c r="AA496" s="160">
        <f t="shared" si="294"/>
        <v>7.4233262934735249</v>
      </c>
      <c r="AB496" s="160">
        <f t="shared" si="295"/>
        <v>2.637960647197616</v>
      </c>
      <c r="AC496" s="171" t="e">
        <f t="shared" si="296"/>
        <v>#DIV/0!</v>
      </c>
      <c r="AD496" s="190" t="e">
        <f t="shared" si="297"/>
        <v>#DIV/0!</v>
      </c>
      <c r="AE496" s="169" t="e">
        <f t="shared" si="298"/>
        <v>#DIV/0!</v>
      </c>
      <c r="AF496" s="98" t="str">
        <f t="shared" si="284"/>
        <v>-0.0000182926829268293</v>
      </c>
      <c r="AG496" s="98" t="str">
        <f t="shared" si="285"/>
        <v>0.0841247764126407i</v>
      </c>
      <c r="AH496" s="98">
        <f t="shared" si="299"/>
        <v>8.4124776412640698E-2</v>
      </c>
      <c r="AI496" s="98">
        <f t="shared" si="300"/>
        <v>1.5707963267948966</v>
      </c>
      <c r="AJ496" s="98" t="str">
        <f t="shared" si="286"/>
        <v>1+8.24671859745521i</v>
      </c>
      <c r="AK496" s="98">
        <f t="shared" si="301"/>
        <v>8.3071275195228349</v>
      </c>
      <c r="AL496" s="98">
        <f t="shared" si="302"/>
        <v>1.4501251260618546</v>
      </c>
      <c r="AM496" s="98" t="str">
        <f t="shared" si="287"/>
        <v>1+832.918578342976i</v>
      </c>
      <c r="AN496" s="98">
        <f t="shared" si="303"/>
        <v>832.91917864153197</v>
      </c>
      <c r="AO496" s="98">
        <f t="shared" si="304"/>
        <v>1.5695957298271694</v>
      </c>
      <c r="AP496" s="168" t="str">
        <f t="shared" si="305"/>
        <v>-0.00259856093155409+0.0216470477926089i</v>
      </c>
      <c r="AQ496" s="98">
        <f t="shared" si="306"/>
        <v>-33.229890626230471</v>
      </c>
      <c r="AR496" s="169">
        <f t="shared" si="307"/>
        <v>96.845161371632315</v>
      </c>
      <c r="AS496" s="168" t="e">
        <f t="shared" si="308"/>
        <v>#DIV/0!</v>
      </c>
      <c r="AT496" s="190" t="e">
        <f t="shared" si="309"/>
        <v>#DIV/0!</v>
      </c>
      <c r="AU496" s="169" t="e">
        <f t="shared" si="310"/>
        <v>#DIV/0!</v>
      </c>
      <c r="AV496" s="225"/>
      <c r="AX496" t="e">
        <f t="shared" si="311"/>
        <v>#DIV/0!</v>
      </c>
      <c r="AY496" t="e">
        <f t="shared" si="312"/>
        <v>#DIV/0!</v>
      </c>
    </row>
    <row r="497" spans="14:51" x14ac:dyDescent="0.25">
      <c r="N497" s="170">
        <v>79</v>
      </c>
      <c r="O497" s="199">
        <f t="shared" si="313"/>
        <v>616595.00186148309</v>
      </c>
      <c r="P497" s="189" t="str">
        <f t="shared" si="279"/>
        <v>290</v>
      </c>
      <c r="Q497" s="160" t="e">
        <f t="shared" si="280"/>
        <v>#DIV/0!</v>
      </c>
      <c r="R497" s="160" t="e">
        <f t="shared" si="288"/>
        <v>#DIV/0!</v>
      </c>
      <c r="S497" s="160" t="e">
        <f t="shared" si="289"/>
        <v>#DIV/0!</v>
      </c>
      <c r="T497" s="160" t="e">
        <f t="shared" si="281"/>
        <v>#DIV/0!</v>
      </c>
      <c r="U497" s="160" t="e">
        <f t="shared" si="290"/>
        <v>#DIV/0!</v>
      </c>
      <c r="V497" s="160" t="e">
        <f t="shared" si="291"/>
        <v>#DIV/0!</v>
      </c>
      <c r="W497" s="98" t="str">
        <f t="shared" si="282"/>
        <v>1-30.8723771039061i</v>
      </c>
      <c r="X497" s="160">
        <f t="shared" si="292"/>
        <v>30.888568565826834</v>
      </c>
      <c r="Y497" s="160">
        <f t="shared" si="293"/>
        <v>-1.5384162323812729</v>
      </c>
      <c r="Z497" s="98" t="str">
        <f t="shared" si="283"/>
        <v>-6.85515281654054+3.66601845108802i</v>
      </c>
      <c r="AA497" s="160">
        <f t="shared" si="294"/>
        <v>7.7738543478664122</v>
      </c>
      <c r="AB497" s="160">
        <f t="shared" si="295"/>
        <v>2.6505074572237639</v>
      </c>
      <c r="AC497" s="171" t="e">
        <f t="shared" si="296"/>
        <v>#DIV/0!</v>
      </c>
      <c r="AD497" s="190" t="e">
        <f t="shared" si="297"/>
        <v>#DIV/0!</v>
      </c>
      <c r="AE497" s="169" t="e">
        <f t="shared" si="298"/>
        <v>#DIV/0!</v>
      </c>
      <c r="AF497" s="98" t="str">
        <f t="shared" si="284"/>
        <v>-0.0000182926829268293</v>
      </c>
      <c r="AG497" s="98" t="str">
        <f t="shared" si="285"/>
        <v>0.0860842941802405i</v>
      </c>
      <c r="AH497" s="98">
        <f t="shared" si="299"/>
        <v>8.6084294180240495E-2</v>
      </c>
      <c r="AI497" s="98">
        <f t="shared" si="300"/>
        <v>1.5707963267948966</v>
      </c>
      <c r="AJ497" s="98" t="str">
        <f t="shared" si="286"/>
        <v>1+8.4388093500873i</v>
      </c>
      <c r="AK497" s="98">
        <f t="shared" si="301"/>
        <v>8.4978528609949961</v>
      </c>
      <c r="AL497" s="98">
        <f t="shared" si="302"/>
        <v>1.4528462411462686</v>
      </c>
      <c r="AM497" s="98" t="str">
        <f t="shared" si="287"/>
        <v>1+852.319744358816i</v>
      </c>
      <c r="AN497" s="98">
        <f t="shared" si="303"/>
        <v>852.32033099291812</v>
      </c>
      <c r="AO497" s="98">
        <f t="shared" si="304"/>
        <v>1.5696230587252948</v>
      </c>
      <c r="AP497" s="168" t="str">
        <f t="shared" si="305"/>
        <v>-0.00248322598958514+0.0211679680322949i</v>
      </c>
      <c r="AQ497" s="98">
        <f t="shared" si="306"/>
        <v>-33.427057505436174</v>
      </c>
      <c r="AR497" s="169">
        <f t="shared" si="307"/>
        <v>96.690818792247299</v>
      </c>
      <c r="AS497" s="168" t="e">
        <f t="shared" si="308"/>
        <v>#DIV/0!</v>
      </c>
      <c r="AT497" s="190" t="e">
        <f t="shared" si="309"/>
        <v>#DIV/0!</v>
      </c>
      <c r="AU497" s="169" t="e">
        <f t="shared" si="310"/>
        <v>#DIV/0!</v>
      </c>
      <c r="AV497" s="225"/>
      <c r="AX497" t="e">
        <f t="shared" si="311"/>
        <v>#DIV/0!</v>
      </c>
      <c r="AY497" t="e">
        <f t="shared" si="312"/>
        <v>#DIV/0!</v>
      </c>
    </row>
    <row r="498" spans="14:51" x14ac:dyDescent="0.25">
      <c r="N498" s="170">
        <v>80</v>
      </c>
      <c r="O498" s="199">
        <f t="shared" si="313"/>
        <v>630957.34448019415</v>
      </c>
      <c r="P498" s="189" t="str">
        <f t="shared" si="279"/>
        <v>290</v>
      </c>
      <c r="Q498" s="160" t="e">
        <f t="shared" si="280"/>
        <v>#DIV/0!</v>
      </c>
      <c r="R498" s="160" t="e">
        <f t="shared" si="288"/>
        <v>#DIV/0!</v>
      </c>
      <c r="S498" s="160" t="e">
        <f t="shared" si="289"/>
        <v>#DIV/0!</v>
      </c>
      <c r="T498" s="160" t="e">
        <f t="shared" si="281"/>
        <v>#DIV/0!</v>
      </c>
      <c r="U498" s="160" t="e">
        <f t="shared" si="290"/>
        <v>#DIV/0!</v>
      </c>
      <c r="V498" s="160" t="e">
        <f t="shared" si="291"/>
        <v>#DIV/0!</v>
      </c>
      <c r="W498" s="98" t="str">
        <f t="shared" si="282"/>
        <v>1-31.5914871454759i</v>
      </c>
      <c r="X498" s="160">
        <f t="shared" si="292"/>
        <v>31.607310231381113</v>
      </c>
      <c r="Y498" s="160">
        <f t="shared" si="293"/>
        <v>-1.5391527956723112</v>
      </c>
      <c r="Z498" s="98" t="str">
        <f t="shared" si="283"/>
        <v>-7.225354763502+3.75141099057032i</v>
      </c>
      <c r="AA498" s="160">
        <f t="shared" si="294"/>
        <v>8.1411814792837536</v>
      </c>
      <c r="AB498" s="160">
        <f t="shared" si="295"/>
        <v>2.6627025496986763</v>
      </c>
      <c r="AC498" s="171" t="e">
        <f t="shared" si="296"/>
        <v>#DIV/0!</v>
      </c>
      <c r="AD498" s="190" t="e">
        <f t="shared" si="297"/>
        <v>#DIV/0!</v>
      </c>
      <c r="AE498" s="169" t="e">
        <f t="shared" si="298"/>
        <v>#DIV/0!</v>
      </c>
      <c r="AF498" s="98" t="str">
        <f t="shared" si="284"/>
        <v>-0.0000182926829268293</v>
      </c>
      <c r="AG498" s="98" t="str">
        <f t="shared" si="285"/>
        <v>0.088089454980075i</v>
      </c>
      <c r="AH498" s="98">
        <f t="shared" si="299"/>
        <v>8.8089454980075005E-2</v>
      </c>
      <c r="AI498" s="98">
        <f t="shared" si="300"/>
        <v>1.5707963267948966</v>
      </c>
      <c r="AJ498" s="98" t="str">
        <f t="shared" si="286"/>
        <v>1+8.63537447113763i</v>
      </c>
      <c r="AK498" s="98">
        <f t="shared" si="301"/>
        <v>8.6930830121870759</v>
      </c>
      <c r="AL498" s="98">
        <f t="shared" si="302"/>
        <v>1.4555071128596895</v>
      </c>
      <c r="AM498" s="98" t="str">
        <f t="shared" si="287"/>
        <v>1+872.172821584899i</v>
      </c>
      <c r="AN498" s="98">
        <f t="shared" si="303"/>
        <v>872.17339486558751</v>
      </c>
      <c r="AO498" s="98">
        <f t="shared" si="304"/>
        <v>1.5696497655434443</v>
      </c>
      <c r="AP498" s="168" t="str">
        <f t="shared" si="305"/>
        <v>-0.002372941356608+0.0206988975155247i</v>
      </c>
      <c r="AQ498" s="98">
        <f t="shared" si="306"/>
        <v>-33.624350169360824</v>
      </c>
      <c r="AR498" s="169">
        <f t="shared" si="307"/>
        <v>96.539892261206745</v>
      </c>
      <c r="AS498" s="168" t="e">
        <f t="shared" si="308"/>
        <v>#DIV/0!</v>
      </c>
      <c r="AT498" s="190" t="e">
        <f t="shared" si="309"/>
        <v>#DIV/0!</v>
      </c>
      <c r="AU498" s="169" t="e">
        <f t="shared" si="310"/>
        <v>#DIV/0!</v>
      </c>
      <c r="AV498" s="225"/>
      <c r="AX498" t="e">
        <f t="shared" si="311"/>
        <v>#DIV/0!</v>
      </c>
      <c r="AY498" t="e">
        <f t="shared" si="312"/>
        <v>#DIV/0!</v>
      </c>
    </row>
    <row r="499" spans="14:51" x14ac:dyDescent="0.25">
      <c r="N499" s="170">
        <v>81</v>
      </c>
      <c r="O499" s="199">
        <f t="shared" si="313"/>
        <v>645654.22903465747</v>
      </c>
      <c r="P499" s="189" t="str">
        <f t="shared" si="279"/>
        <v>290</v>
      </c>
      <c r="Q499" s="160" t="e">
        <f t="shared" si="280"/>
        <v>#DIV/0!</v>
      </c>
      <c r="R499" s="160" t="e">
        <f t="shared" si="288"/>
        <v>#DIV/0!</v>
      </c>
      <c r="S499" s="160" t="e">
        <f t="shared" si="289"/>
        <v>#DIV/0!</v>
      </c>
      <c r="T499" s="160" t="e">
        <f t="shared" si="281"/>
        <v>#DIV/0!</v>
      </c>
      <c r="U499" s="160" t="e">
        <f t="shared" si="290"/>
        <v>#DIV/0!</v>
      </c>
      <c r="V499" s="160" t="e">
        <f t="shared" si="291"/>
        <v>#DIV/0!</v>
      </c>
      <c r="W499" s="98" t="str">
        <f t="shared" si="282"/>
        <v>1-32.327347411693i</v>
      </c>
      <c r="X499" s="160">
        <f t="shared" si="292"/>
        <v>32.342810494394172</v>
      </c>
      <c r="Y499" s="160">
        <f t="shared" si="293"/>
        <v>-1.5398726259257673</v>
      </c>
      <c r="Z499" s="98" t="str">
        <f t="shared" si="283"/>
        <v>-7.61300379070945+3.83879257781561i</v>
      </c>
      <c r="AA499" s="160">
        <f t="shared" si="294"/>
        <v>8.5260867443891666</v>
      </c>
      <c r="AB499" s="160">
        <f t="shared" si="295"/>
        <v>2.6745575914102533</v>
      </c>
      <c r="AC499" s="171" t="e">
        <f t="shared" si="296"/>
        <v>#DIV/0!</v>
      </c>
      <c r="AD499" s="190" t="e">
        <f t="shared" si="297"/>
        <v>#DIV/0!</v>
      </c>
      <c r="AE499" s="169" t="e">
        <f t="shared" si="298"/>
        <v>#DIV/0!</v>
      </c>
      <c r="AF499" s="98" t="str">
        <f t="shared" si="284"/>
        <v>-0.0000182926829268293</v>
      </c>
      <c r="AG499" s="98" t="str">
        <f t="shared" si="285"/>
        <v>0.0901413219749419i</v>
      </c>
      <c r="AH499" s="98">
        <f t="shared" si="299"/>
        <v>9.0141321974941901E-2</v>
      </c>
      <c r="AI499" s="98">
        <f t="shared" si="300"/>
        <v>1.5707963267948966</v>
      </c>
      <c r="AJ499" s="98" t="str">
        <f t="shared" si="286"/>
        <v>1+8.83651818203527i</v>
      </c>
      <c r="AK499" s="98">
        <f t="shared" si="301"/>
        <v>8.8929215436458193</v>
      </c>
      <c r="AL499" s="98">
        <f t="shared" si="302"/>
        <v>1.4581090012334286</v>
      </c>
      <c r="AM499" s="98" t="str">
        <f t="shared" si="287"/>
        <v>1+892.488336385562i</v>
      </c>
      <c r="AN499" s="98">
        <f t="shared" si="303"/>
        <v>892.48889661679709</v>
      </c>
      <c r="AO499" s="98">
        <f t="shared" si="304"/>
        <v>1.5696758644417736</v>
      </c>
      <c r="AP499" s="168" t="str">
        <f t="shared" si="305"/>
        <v>-0.00226749186392649+0.0202396664607716i</v>
      </c>
      <c r="AQ499" s="98">
        <f t="shared" si="306"/>
        <v>-33.821763106726081</v>
      </c>
      <c r="AR499" s="169">
        <f t="shared" si="307"/>
        <v>96.392310395351558</v>
      </c>
      <c r="AS499" s="168" t="e">
        <f t="shared" si="308"/>
        <v>#DIV/0!</v>
      </c>
      <c r="AT499" s="190" t="e">
        <f t="shared" si="309"/>
        <v>#DIV/0!</v>
      </c>
      <c r="AU499" s="169" t="e">
        <f t="shared" si="310"/>
        <v>#DIV/0!</v>
      </c>
      <c r="AV499" s="225"/>
      <c r="AX499" t="e">
        <f t="shared" si="311"/>
        <v>#DIV/0!</v>
      </c>
      <c r="AY499" t="e">
        <f t="shared" si="312"/>
        <v>#DIV/0!</v>
      </c>
    </row>
    <row r="500" spans="14:51" x14ac:dyDescent="0.25">
      <c r="N500" s="170">
        <v>82</v>
      </c>
      <c r="O500" s="199">
        <f t="shared" si="313"/>
        <v>660693.44800759677</v>
      </c>
      <c r="P500" s="189" t="str">
        <f t="shared" si="279"/>
        <v>290</v>
      </c>
      <c r="Q500" s="160" t="e">
        <f t="shared" si="280"/>
        <v>#DIV/0!</v>
      </c>
      <c r="R500" s="160" t="e">
        <f t="shared" si="288"/>
        <v>#DIV/0!</v>
      </c>
      <c r="S500" s="160" t="e">
        <f t="shared" si="289"/>
        <v>#DIV/0!</v>
      </c>
      <c r="T500" s="160" t="e">
        <f t="shared" si="281"/>
        <v>#DIV/0!</v>
      </c>
      <c r="U500" s="160" t="e">
        <f t="shared" si="290"/>
        <v>#DIV/0!</v>
      </c>
      <c r="V500" s="160" t="e">
        <f t="shared" si="291"/>
        <v>#DIV/0!</v>
      </c>
      <c r="W500" s="98" t="str">
        <f t="shared" si="282"/>
        <v>1-33.0803480654108i</v>
      </c>
      <c r="X500" s="160">
        <f t="shared" si="292"/>
        <v>33.095459327961116</v>
      </c>
      <c r="Y500" s="160">
        <f t="shared" si="293"/>
        <v>-1.5405761018195905</v>
      </c>
      <c r="Z500" s="98" t="str">
        <f t="shared" si="283"/>
        <v>-8.01892215372244+3.92820954369808i</v>
      </c>
      <c r="AA500" s="160">
        <f t="shared" si="294"/>
        <v>8.9293864697783807</v>
      </c>
      <c r="AB500" s="160">
        <f t="shared" si="295"/>
        <v>2.6860838325268208</v>
      </c>
      <c r="AC500" s="171" t="e">
        <f t="shared" si="296"/>
        <v>#DIV/0!</v>
      </c>
      <c r="AD500" s="190" t="e">
        <f t="shared" si="297"/>
        <v>#DIV/0!</v>
      </c>
      <c r="AE500" s="169" t="e">
        <f t="shared" si="298"/>
        <v>#DIV/0!</v>
      </c>
      <c r="AF500" s="98" t="str">
        <f t="shared" si="284"/>
        <v>-0.0000182926829268293</v>
      </c>
      <c r="AG500" s="98" t="str">
        <f t="shared" si="285"/>
        <v>0.092240983091881i</v>
      </c>
      <c r="AH500" s="98">
        <f t="shared" si="299"/>
        <v>9.2240983091881001E-2</v>
      </c>
      <c r="AI500" s="98">
        <f t="shared" si="300"/>
        <v>1.5707963267948966</v>
      </c>
      <c r="AJ500" s="98" t="str">
        <f t="shared" si="286"/>
        <v>1+9.04234713183815i</v>
      </c>
      <c r="AK500" s="98">
        <f t="shared" si="301"/>
        <v>9.0974744656229518</v>
      </c>
      <c r="AL500" s="98">
        <f t="shared" si="302"/>
        <v>1.4606531448323665</v>
      </c>
      <c r="AM500" s="98" t="str">
        <f t="shared" si="287"/>
        <v>1+913.277060315652i</v>
      </c>
      <c r="AN500" s="98">
        <f t="shared" si="303"/>
        <v>913.27760779447499</v>
      </c>
      <c r="AO500" s="98">
        <f t="shared" si="304"/>
        <v>1.5697013692581221</v>
      </c>
      <c r="AP500" s="168" t="str">
        <f t="shared" si="305"/>
        <v>-0.00216667098997908+0.019790105261808i</v>
      </c>
      <c r="AQ500" s="98">
        <f t="shared" si="306"/>
        <v>-34.019291041357164</v>
      </c>
      <c r="AR500" s="169">
        <f t="shared" si="307"/>
        <v>96.248003022991227</v>
      </c>
      <c r="AS500" s="168" t="e">
        <f t="shared" si="308"/>
        <v>#DIV/0!</v>
      </c>
      <c r="AT500" s="190" t="e">
        <f t="shared" si="309"/>
        <v>#DIV/0!</v>
      </c>
      <c r="AU500" s="169" t="e">
        <f t="shared" si="310"/>
        <v>#DIV/0!</v>
      </c>
      <c r="AV500" s="225"/>
      <c r="AX500" t="e">
        <f t="shared" si="311"/>
        <v>#DIV/0!</v>
      </c>
      <c r="AY500" t="e">
        <f t="shared" si="312"/>
        <v>#DIV/0!</v>
      </c>
    </row>
    <row r="501" spans="14:51" x14ac:dyDescent="0.25">
      <c r="N501" s="170">
        <v>83</v>
      </c>
      <c r="O501" s="199">
        <f t="shared" si="313"/>
        <v>676082.97539198259</v>
      </c>
      <c r="P501" s="189" t="str">
        <f t="shared" si="279"/>
        <v>290</v>
      </c>
      <c r="Q501" s="160" t="e">
        <f t="shared" si="280"/>
        <v>#DIV/0!</v>
      </c>
      <c r="R501" s="160" t="e">
        <f t="shared" si="288"/>
        <v>#DIV/0!</v>
      </c>
      <c r="S501" s="160" t="e">
        <f t="shared" si="289"/>
        <v>#DIV/0!</v>
      </c>
      <c r="T501" s="160" t="e">
        <f t="shared" si="281"/>
        <v>#DIV/0!</v>
      </c>
      <c r="U501" s="160" t="e">
        <f t="shared" si="290"/>
        <v>#DIV/0!</v>
      </c>
      <c r="V501" s="160" t="e">
        <f t="shared" si="291"/>
        <v>#DIV/0!</v>
      </c>
      <c r="W501" s="98" t="str">
        <f t="shared" si="282"/>
        <v>1-33.8508883575431i</v>
      </c>
      <c r="X501" s="160">
        <f t="shared" si="292"/>
        <v>33.865655797501496</v>
      </c>
      <c r="Y501" s="160">
        <f t="shared" si="293"/>
        <v>-1.5412635935593384</v>
      </c>
      <c r="Z501" s="98" t="str">
        <f t="shared" si="283"/>
        <v>-8.44397085981149+4.01970929827663i</v>
      </c>
      <c r="AA501" s="160">
        <f t="shared" si="294"/>
        <v>9.3519359880185871</v>
      </c>
      <c r="AB501" s="160">
        <f t="shared" si="295"/>
        <v>2.6972921145102244</v>
      </c>
      <c r="AC501" s="171" t="e">
        <f t="shared" si="296"/>
        <v>#DIV/0!</v>
      </c>
      <c r="AD501" s="190" t="e">
        <f t="shared" si="297"/>
        <v>#DIV/0!</v>
      </c>
      <c r="AE501" s="169" t="e">
        <f t="shared" si="298"/>
        <v>#DIV/0!</v>
      </c>
      <c r="AF501" s="98" t="str">
        <f t="shared" si="284"/>
        <v>-0.0000182926829268293</v>
      </c>
      <c r="AG501" s="98" t="str">
        <f t="shared" si="285"/>
        <v>0.0943895515990094i</v>
      </c>
      <c r="AH501" s="98">
        <f t="shared" si="299"/>
        <v>9.43895515990094E-2</v>
      </c>
      <c r="AI501" s="98">
        <f t="shared" si="300"/>
        <v>1.5707963267948966</v>
      </c>
      <c r="AJ501" s="98" t="str">
        <f t="shared" si="286"/>
        <v>1+9.25297045377996i</v>
      </c>
      <c r="AK501" s="98">
        <f t="shared" si="301"/>
        <v>9.3068502845229499</v>
      </c>
      <c r="AL501" s="98">
        <f t="shared" si="302"/>
        <v>1.4631407607845517</v>
      </c>
      <c r="AM501" s="98" t="str">
        <f t="shared" si="287"/>
        <v>1+934.550015831774i</v>
      </c>
      <c r="AN501" s="98">
        <f t="shared" si="303"/>
        <v>934.5505508484647</v>
      </c>
      <c r="AO501" s="98">
        <f t="shared" si="304"/>
        <v>1.5697262935153478</v>
      </c>
      <c r="AP501" s="168" t="str">
        <f t="shared" si="305"/>
        <v>-0.00207028055855335+0.019350044710363i</v>
      </c>
      <c r="AQ501" s="98">
        <f t="shared" si="306"/>
        <v>-34.21692892270859</v>
      </c>
      <c r="AR501" s="169">
        <f t="shared" si="307"/>
        <v>96.106901182628121</v>
      </c>
      <c r="AS501" s="168" t="e">
        <f t="shared" si="308"/>
        <v>#DIV/0!</v>
      </c>
      <c r="AT501" s="190" t="e">
        <f t="shared" si="309"/>
        <v>#DIV/0!</v>
      </c>
      <c r="AU501" s="169" t="e">
        <f t="shared" si="310"/>
        <v>#DIV/0!</v>
      </c>
      <c r="AV501" s="225"/>
      <c r="AX501" t="e">
        <f t="shared" si="311"/>
        <v>#DIV/0!</v>
      </c>
      <c r="AY501" t="e">
        <f t="shared" si="312"/>
        <v>#DIV/0!</v>
      </c>
    </row>
    <row r="502" spans="14:51" x14ac:dyDescent="0.25">
      <c r="N502" s="170">
        <v>84</v>
      </c>
      <c r="O502" s="199">
        <f t="shared" si="313"/>
        <v>691830.97091893724</v>
      </c>
      <c r="P502" s="189" t="str">
        <f t="shared" si="279"/>
        <v>290</v>
      </c>
      <c r="Q502" s="160" t="e">
        <f t="shared" si="280"/>
        <v>#DIV/0!</v>
      </c>
      <c r="R502" s="160" t="e">
        <f t="shared" si="288"/>
        <v>#DIV/0!</v>
      </c>
      <c r="S502" s="160" t="e">
        <f t="shared" si="289"/>
        <v>#DIV/0!</v>
      </c>
      <c r="T502" s="160" t="e">
        <f t="shared" si="281"/>
        <v>#DIV/0!</v>
      </c>
      <c r="U502" s="160" t="e">
        <f t="shared" si="290"/>
        <v>#DIV/0!</v>
      </c>
      <c r="V502" s="160" t="e">
        <f t="shared" si="291"/>
        <v>#DIV/0!</v>
      </c>
      <c r="W502" s="98" t="str">
        <f t="shared" si="282"/>
        <v>1-34.639376838752i</v>
      </c>
      <c r="X502" s="160">
        <f t="shared" si="292"/>
        <v>34.65380827235397</v>
      </c>
      <c r="Y502" s="160">
        <f t="shared" si="293"/>
        <v>-1.5419354630612283</v>
      </c>
      <c r="Z502" s="98" t="str">
        <f t="shared" si="283"/>
        <v>-8.8890514942694+4.11334035593226i</v>
      </c>
      <c r="AA502" s="160">
        <f t="shared" si="294"/>
        <v>9.7946314556247582</v>
      </c>
      <c r="AB502" s="160">
        <f t="shared" si="295"/>
        <v>2.7081928794026093</v>
      </c>
      <c r="AC502" s="171" t="e">
        <f t="shared" si="296"/>
        <v>#DIV/0!</v>
      </c>
      <c r="AD502" s="190" t="e">
        <f t="shared" si="297"/>
        <v>#DIV/0!</v>
      </c>
      <c r="AE502" s="169" t="e">
        <f t="shared" si="298"/>
        <v>#DIV/0!</v>
      </c>
      <c r="AF502" s="98" t="str">
        <f t="shared" si="284"/>
        <v>-0.0000182926829268293</v>
      </c>
      <c r="AG502" s="98" t="str">
        <f t="shared" si="285"/>
        <v>0.0965881666957889i</v>
      </c>
      <c r="AH502" s="98">
        <f t="shared" si="299"/>
        <v>9.6588166695788902E-2</v>
      </c>
      <c r="AI502" s="98">
        <f t="shared" si="300"/>
        <v>1.5707963267948966</v>
      </c>
      <c r="AJ502" s="98" t="str">
        <f t="shared" si="286"/>
        <v>1+9.46849982313389i</v>
      </c>
      <c r="AK502" s="98">
        <f t="shared" si="301"/>
        <v>9.5211600606589162</v>
      </c>
      <c r="AL502" s="98">
        <f t="shared" si="302"/>
        <v>1.4655730448383724</v>
      </c>
      <c r="AM502" s="98" t="str">
        <f t="shared" si="287"/>
        <v>1+956.318482136522i</v>
      </c>
      <c r="AN502" s="98">
        <f t="shared" si="303"/>
        <v>956.31900497475272</v>
      </c>
      <c r="AO502" s="98">
        <f t="shared" si="304"/>
        <v>1.5697506504284982</v>
      </c>
      <c r="AP502" s="168" t="str">
        <f t="shared" si="305"/>
        <v>-0.00197813044337587+0.018919316200631i</v>
      </c>
      <c r="AQ502" s="98">
        <f t="shared" si="306"/>
        <v>-34.414671916722916</v>
      </c>
      <c r="AR502" s="169">
        <f t="shared" si="307"/>
        <v>95.968937120092647</v>
      </c>
      <c r="AS502" s="168" t="e">
        <f t="shared" si="308"/>
        <v>#DIV/0!</v>
      </c>
      <c r="AT502" s="190" t="e">
        <f t="shared" si="309"/>
        <v>#DIV/0!</v>
      </c>
      <c r="AU502" s="169" t="e">
        <f t="shared" si="310"/>
        <v>#DIV/0!</v>
      </c>
      <c r="AV502" s="225"/>
      <c r="AX502" t="e">
        <f t="shared" si="311"/>
        <v>#DIV/0!</v>
      </c>
      <c r="AY502" t="e">
        <f t="shared" si="312"/>
        <v>#DIV/0!</v>
      </c>
    </row>
    <row r="503" spans="14:51" x14ac:dyDescent="0.25">
      <c r="N503" s="170">
        <v>85</v>
      </c>
      <c r="O503" s="199">
        <f t="shared" si="313"/>
        <v>707945.78438413853</v>
      </c>
      <c r="P503" s="189" t="str">
        <f t="shared" si="279"/>
        <v>290</v>
      </c>
      <c r="Q503" s="160" t="e">
        <f t="shared" si="280"/>
        <v>#DIV/0!</v>
      </c>
      <c r="R503" s="160" t="e">
        <f t="shared" si="288"/>
        <v>#DIV/0!</v>
      </c>
      <c r="S503" s="160" t="e">
        <f t="shared" si="289"/>
        <v>#DIV/0!</v>
      </c>
      <c r="T503" s="160" t="e">
        <f t="shared" si="281"/>
        <v>#DIV/0!</v>
      </c>
      <c r="U503" s="160" t="e">
        <f t="shared" si="290"/>
        <v>#DIV/0!</v>
      </c>
      <c r="V503" s="160" t="e">
        <f t="shared" si="291"/>
        <v>#DIV/0!</v>
      </c>
      <c r="W503" s="98" t="str">
        <f t="shared" si="282"/>
        <v>1-35.4462315760672i</v>
      </c>
      <c r="X503" s="160">
        <f t="shared" si="292"/>
        <v>35.460334642303977</v>
      </c>
      <c r="Y503" s="160">
        <f t="shared" si="293"/>
        <v>-1.5425920641316737</v>
      </c>
      <c r="Z503" s="98" t="str">
        <f t="shared" si="283"/>
        <v>-9.3551081327949+4.20915236109111i</v>
      </c>
      <c r="AA503" s="160">
        <f t="shared" si="294"/>
        <v>10.258411756951666</v>
      </c>
      <c r="AB503" s="160">
        <f t="shared" si="295"/>
        <v>2.7187961801763496</v>
      </c>
      <c r="AC503" s="171" t="e">
        <f t="shared" si="296"/>
        <v>#DIV/0!</v>
      </c>
      <c r="AD503" s="190" t="e">
        <f t="shared" si="297"/>
        <v>#DIV/0!</v>
      </c>
      <c r="AE503" s="169" t="e">
        <f t="shared" si="298"/>
        <v>#DIV/0!</v>
      </c>
      <c r="AF503" s="98" t="str">
        <f t="shared" si="284"/>
        <v>-0.0000182926829268293</v>
      </c>
      <c r="AG503" s="98" t="str">
        <f t="shared" si="285"/>
        <v>0.0988379941170461i</v>
      </c>
      <c r="AH503" s="98">
        <f t="shared" si="299"/>
        <v>9.8837994117046094E-2</v>
      </c>
      <c r="AI503" s="98">
        <f t="shared" si="300"/>
        <v>1.5707963267948966</v>
      </c>
      <c r="AJ503" s="98" t="str">
        <f t="shared" si="286"/>
        <v>1+9.68904951642449i</v>
      </c>
      <c r="AK503" s="98">
        <f t="shared" si="301"/>
        <v>9.7405174673487256</v>
      </c>
      <c r="AL503" s="98">
        <f t="shared" si="302"/>
        <v>1.4679511714450526</v>
      </c>
      <c r="AM503" s="98" t="str">
        <f t="shared" si="287"/>
        <v>1+978.594001158872i</v>
      </c>
      <c r="AN503" s="98">
        <f t="shared" si="303"/>
        <v>978.59451209585802</v>
      </c>
      <c r="AO503" s="98">
        <f t="shared" si="304"/>
        <v>1.5697744529118149</v>
      </c>
      <c r="AP503" s="168" t="str">
        <f t="shared" si="305"/>
        <v>-0.00189003827936413+0.018497751916706i</v>
      </c>
      <c r="AQ503" s="98">
        <f t="shared" si="306"/>
        <v>-34.612515397015599</v>
      </c>
      <c r="AR503" s="169">
        <f t="shared" si="307"/>
        <v>95.834044284218152</v>
      </c>
      <c r="AS503" s="168" t="e">
        <f t="shared" si="308"/>
        <v>#DIV/0!</v>
      </c>
      <c r="AT503" s="190" t="e">
        <f t="shared" si="309"/>
        <v>#DIV/0!</v>
      </c>
      <c r="AU503" s="169" t="e">
        <f t="shared" si="310"/>
        <v>#DIV/0!</v>
      </c>
      <c r="AV503" s="225"/>
      <c r="AX503" t="e">
        <f t="shared" si="311"/>
        <v>#DIV/0!</v>
      </c>
      <c r="AY503" t="e">
        <f t="shared" si="312"/>
        <v>#DIV/0!</v>
      </c>
    </row>
    <row r="504" spans="14:51" x14ac:dyDescent="0.25">
      <c r="N504" s="170">
        <v>86</v>
      </c>
      <c r="O504" s="199">
        <f t="shared" si="313"/>
        <v>724435.96007499192</v>
      </c>
      <c r="P504" s="189" t="str">
        <f t="shared" si="279"/>
        <v>290</v>
      </c>
      <c r="Q504" s="160" t="e">
        <f t="shared" si="280"/>
        <v>#DIV/0!</v>
      </c>
      <c r="R504" s="160" t="e">
        <f t="shared" si="288"/>
        <v>#DIV/0!</v>
      </c>
      <c r="S504" s="160" t="e">
        <f t="shared" si="289"/>
        <v>#DIV/0!</v>
      </c>
      <c r="T504" s="160" t="e">
        <f t="shared" si="281"/>
        <v>#DIV/0!</v>
      </c>
      <c r="U504" s="160" t="e">
        <f t="shared" si="290"/>
        <v>#DIV/0!</v>
      </c>
      <c r="V504" s="160" t="e">
        <f t="shared" si="291"/>
        <v>#DIV/0!</v>
      </c>
      <c r="W504" s="98" t="str">
        <f t="shared" si="282"/>
        <v>1-36.2718803745504i</v>
      </c>
      <c r="X504" s="160">
        <f t="shared" si="292"/>
        <v>36.285662539158551</v>
      </c>
      <c r="Y504" s="160">
        <f t="shared" si="293"/>
        <v>-1.5432337426433398</v>
      </c>
      <c r="Z504" s="98" t="str">
        <f t="shared" si="283"/>
        <v>-9.8431293440036+4.30719611454653i</v>
      </c>
      <c r="AA504" s="160">
        <f t="shared" si="294"/>
        <v>10.744260498142692</v>
      </c>
      <c r="AB504" s="160">
        <f t="shared" si="295"/>
        <v>2.729111691882057</v>
      </c>
      <c r="AC504" s="171" t="e">
        <f t="shared" si="296"/>
        <v>#DIV/0!</v>
      </c>
      <c r="AD504" s="190" t="e">
        <f t="shared" si="297"/>
        <v>#DIV/0!</v>
      </c>
      <c r="AE504" s="169" t="e">
        <f t="shared" si="298"/>
        <v>#DIV/0!</v>
      </c>
      <c r="AF504" s="98" t="str">
        <f t="shared" si="284"/>
        <v>-0.0000182926829268293</v>
      </c>
      <c r="AG504" s="98" t="str">
        <f t="shared" si="285"/>
        <v>0.10114022675106i</v>
      </c>
      <c r="AH504" s="98">
        <f t="shared" si="299"/>
        <v>0.10114022675106001</v>
      </c>
      <c r="AI504" s="98">
        <f t="shared" si="300"/>
        <v>1.5707963267948966</v>
      </c>
      <c r="AJ504" s="98" t="str">
        <f t="shared" si="286"/>
        <v>1+9.91473647201842i</v>
      </c>
      <c r="AK504" s="98">
        <f t="shared" si="301"/>
        <v>9.9650388513829817</v>
      </c>
      <c r="AL504" s="98">
        <f t="shared" si="302"/>
        <v>1.4702762938643315</v>
      </c>
      <c r="AM504" s="98" t="str">
        <f t="shared" si="287"/>
        <v>1+1001.38838367386i</v>
      </c>
      <c r="AN504" s="98">
        <f t="shared" si="303"/>
        <v>1001.388882980506</v>
      </c>
      <c r="AO504" s="98">
        <f t="shared" si="304"/>
        <v>1.5697977135855825</v>
      </c>
      <c r="AP504" s="168" t="str">
        <f t="shared" si="305"/>
        <v>-0.00180582918077214+0.018085185003973i</v>
      </c>
      <c r="AQ504" s="98">
        <f t="shared" si="306"/>
        <v>-34.810454936377219</v>
      </c>
      <c r="AR504" s="169">
        <f t="shared" si="307"/>
        <v>95.702157321177665</v>
      </c>
      <c r="AS504" s="168" t="e">
        <f t="shared" si="308"/>
        <v>#DIV/0!</v>
      </c>
      <c r="AT504" s="190" t="e">
        <f t="shared" si="309"/>
        <v>#DIV/0!</v>
      </c>
      <c r="AU504" s="169" t="e">
        <f t="shared" si="310"/>
        <v>#DIV/0!</v>
      </c>
      <c r="AV504" s="225"/>
      <c r="AX504" t="e">
        <f t="shared" si="311"/>
        <v>#DIV/0!</v>
      </c>
      <c r="AY504" t="e">
        <f t="shared" si="312"/>
        <v>#DIV/0!</v>
      </c>
    </row>
    <row r="505" spans="14:51" x14ac:dyDescent="0.25">
      <c r="N505" s="170">
        <v>87</v>
      </c>
      <c r="O505" s="199">
        <f t="shared" si="313"/>
        <v>741310.24130091805</v>
      </c>
      <c r="P505" s="189" t="str">
        <f t="shared" si="279"/>
        <v>290</v>
      </c>
      <c r="Q505" s="160" t="e">
        <f t="shared" si="280"/>
        <v>#DIV/0!</v>
      </c>
      <c r="R505" s="160" t="e">
        <f t="shared" si="288"/>
        <v>#DIV/0!</v>
      </c>
      <c r="S505" s="160" t="e">
        <f t="shared" si="289"/>
        <v>#DIV/0!</v>
      </c>
      <c r="T505" s="160" t="e">
        <f t="shared" si="281"/>
        <v>#DIV/0!</v>
      </c>
      <c r="U505" s="160" t="e">
        <f t="shared" si="290"/>
        <v>#DIV/0!</v>
      </c>
      <c r="V505" s="160" t="e">
        <f t="shared" si="291"/>
        <v>#DIV/0!</v>
      </c>
      <c r="W505" s="98" t="str">
        <f t="shared" si="282"/>
        <v>1-37.1167610041232i</v>
      </c>
      <c r="X505" s="160">
        <f t="shared" si="292"/>
        <v>37.130229563486417</v>
      </c>
      <c r="Y505" s="160">
        <f t="shared" si="293"/>
        <v>-1.543860836707762</v>
      </c>
      <c r="Z505" s="98" t="str">
        <f t="shared" si="283"/>
        <v>-10.3541502863145+4.40752360039434i</v>
      </c>
      <c r="AA505" s="160">
        <f t="shared" si="294"/>
        <v>11.253208095455255</v>
      </c>
      <c r="AB505" s="160">
        <f t="shared" si="295"/>
        <v>2.7391487233697869</v>
      </c>
      <c r="AC505" s="171" t="e">
        <f t="shared" si="296"/>
        <v>#DIV/0!</v>
      </c>
      <c r="AD505" s="190" t="e">
        <f t="shared" si="297"/>
        <v>#DIV/0!</v>
      </c>
      <c r="AE505" s="169" t="e">
        <f t="shared" si="298"/>
        <v>#DIV/0!</v>
      </c>
      <c r="AF505" s="98" t="str">
        <f t="shared" si="284"/>
        <v>-0.0000182926829268293</v>
      </c>
      <c r="AG505" s="98" t="str">
        <f t="shared" si="285"/>
        <v>0.103496085272046i</v>
      </c>
      <c r="AH505" s="98">
        <f t="shared" si="299"/>
        <v>0.103496085272046</v>
      </c>
      <c r="AI505" s="98">
        <f t="shared" si="300"/>
        <v>1.5707963267948966</v>
      </c>
      <c r="AJ505" s="98" t="str">
        <f t="shared" si="286"/>
        <v>1+10.1456803521268i</v>
      </c>
      <c r="AK505" s="98">
        <f t="shared" si="301"/>
        <v>10.194843294898249</v>
      </c>
      <c r="AL505" s="98">
        <f t="shared" si="302"/>
        <v>1.4725495442913326</v>
      </c>
      <c r="AM505" s="98" t="str">
        <f t="shared" si="287"/>
        <v>1+1024.71371556481i</v>
      </c>
      <c r="AN505" s="98">
        <f t="shared" si="303"/>
        <v>1024.7142035058546</v>
      </c>
      <c r="AO505" s="98">
        <f t="shared" si="304"/>
        <v>1.5698204447828166</v>
      </c>
      <c r="AP505" s="168" t="str">
        <f t="shared" si="305"/>
        <v>-0.00172533546641018+0.017681449725434i</v>
      </c>
      <c r="AQ505" s="98">
        <f t="shared" si="306"/>
        <v>-35.008486298586753</v>
      </c>
      <c r="AR505" s="169">
        <f t="shared" si="307"/>
        <v>95.573212067599016</v>
      </c>
      <c r="AS505" s="168" t="e">
        <f t="shared" si="308"/>
        <v>#DIV/0!</v>
      </c>
      <c r="AT505" s="190" t="e">
        <f t="shared" si="309"/>
        <v>#DIV/0!</v>
      </c>
      <c r="AU505" s="169" t="e">
        <f t="shared" si="310"/>
        <v>#DIV/0!</v>
      </c>
      <c r="AV505" s="225"/>
      <c r="AX505" t="e">
        <f t="shared" si="311"/>
        <v>#DIV/0!</v>
      </c>
      <c r="AY505" t="e">
        <f t="shared" si="312"/>
        <v>#DIV/0!</v>
      </c>
    </row>
    <row r="506" spans="14:51" x14ac:dyDescent="0.25">
      <c r="N506" s="170">
        <v>88</v>
      </c>
      <c r="O506" s="199">
        <f t="shared" si="313"/>
        <v>758577.57502918423</v>
      </c>
      <c r="P506" s="189" t="str">
        <f t="shared" si="279"/>
        <v>290</v>
      </c>
      <c r="Q506" s="160" t="e">
        <f t="shared" si="280"/>
        <v>#DIV/0!</v>
      </c>
      <c r="R506" s="160" t="e">
        <f t="shared" si="288"/>
        <v>#DIV/0!</v>
      </c>
      <c r="S506" s="160" t="e">
        <f t="shared" si="289"/>
        <v>#DIV/0!</v>
      </c>
      <c r="T506" s="160" t="e">
        <f t="shared" si="281"/>
        <v>#DIV/0!</v>
      </c>
      <c r="U506" s="160" t="e">
        <f t="shared" si="290"/>
        <v>#DIV/0!</v>
      </c>
      <c r="V506" s="160" t="e">
        <f t="shared" si="291"/>
        <v>#DIV/0!</v>
      </c>
      <c r="W506" s="98" t="str">
        <f t="shared" si="282"/>
        <v>1-37.9813214316788i</v>
      </c>
      <c r="X506" s="160">
        <f t="shared" si="292"/>
        <v>37.994483516643612</v>
      </c>
      <c r="Y506" s="160">
        <f t="shared" si="293"/>
        <v>-1.5444736768445608</v>
      </c>
      <c r="Z506" s="98" t="str">
        <f t="shared" si="283"/>
        <v>-10.8892549036603+4.51018801359557i</v>
      </c>
      <c r="AA506" s="160">
        <f t="shared" si="294"/>
        <v>11.786333962469886</v>
      </c>
      <c r="AB506" s="160">
        <f t="shared" si="295"/>
        <v>2.7489162293936729</v>
      </c>
      <c r="AC506" s="171" t="e">
        <f t="shared" si="296"/>
        <v>#DIV/0!</v>
      </c>
      <c r="AD506" s="190" t="e">
        <f t="shared" si="297"/>
        <v>#DIV/0!</v>
      </c>
      <c r="AE506" s="169" t="e">
        <f t="shared" si="298"/>
        <v>#DIV/0!</v>
      </c>
      <c r="AF506" s="98" t="str">
        <f t="shared" si="284"/>
        <v>-0.0000182926829268293</v>
      </c>
      <c r="AG506" s="98" t="str">
        <f t="shared" si="285"/>
        <v>0.105906818787376i</v>
      </c>
      <c r="AH506" s="98">
        <f t="shared" si="299"/>
        <v>0.105906818787376</v>
      </c>
      <c r="AI506" s="98">
        <f t="shared" si="300"/>
        <v>1.5707963267948966</v>
      </c>
      <c r="AJ506" s="98" t="str">
        <f t="shared" si="286"/>
        <v>1+10.3820036062519i</v>
      </c>
      <c r="AK506" s="98">
        <f t="shared" si="301"/>
        <v>10.430052678688995</v>
      </c>
      <c r="AL506" s="98">
        <f t="shared" si="302"/>
        <v>1.4747720340027435</v>
      </c>
      <c r="AM506" s="98" t="str">
        <f t="shared" si="287"/>
        <v>1+1048.58236423144i</v>
      </c>
      <c r="AN506" s="98">
        <f t="shared" si="303"/>
        <v>1048.5828410655954</v>
      </c>
      <c r="AO506" s="98">
        <f t="shared" si="304"/>
        <v>1.5698426585558052</v>
      </c>
      <c r="AP506" s="168" t="str">
        <f t="shared" si="305"/>
        <v>-0.00164839639207316+0.0172863816039053i</v>
      </c>
      <c r="AQ506" s="98">
        <f t="shared" si="306"/>
        <v>-35.206605430527333</v>
      </c>
      <c r="AR506" s="169">
        <f t="shared" si="307"/>
        <v>95.447145542563234</v>
      </c>
      <c r="AS506" s="168" t="e">
        <f t="shared" si="308"/>
        <v>#DIV/0!</v>
      </c>
      <c r="AT506" s="190" t="e">
        <f t="shared" si="309"/>
        <v>#DIV/0!</v>
      </c>
      <c r="AU506" s="169" t="e">
        <f t="shared" si="310"/>
        <v>#DIV/0!</v>
      </c>
      <c r="AV506" s="225"/>
      <c r="AX506" t="e">
        <f t="shared" si="311"/>
        <v>#DIV/0!</v>
      </c>
      <c r="AY506" t="e">
        <f t="shared" si="312"/>
        <v>#DIV/0!</v>
      </c>
    </row>
    <row r="507" spans="14:51" x14ac:dyDescent="0.25">
      <c r="N507" s="170">
        <v>89</v>
      </c>
      <c r="O507" s="199">
        <f t="shared" si="313"/>
        <v>776247.11662869214</v>
      </c>
      <c r="P507" s="189" t="str">
        <f t="shared" si="279"/>
        <v>290</v>
      </c>
      <c r="Q507" s="160" t="e">
        <f t="shared" si="280"/>
        <v>#DIV/0!</v>
      </c>
      <c r="R507" s="160" t="e">
        <f t="shared" si="288"/>
        <v>#DIV/0!</v>
      </c>
      <c r="S507" s="160" t="e">
        <f t="shared" si="289"/>
        <v>#DIV/0!</v>
      </c>
      <c r="T507" s="160" t="e">
        <f t="shared" si="281"/>
        <v>#DIV/0!</v>
      </c>
      <c r="U507" s="160" t="e">
        <f t="shared" si="290"/>
        <v>#DIV/0!</v>
      </c>
      <c r="V507" s="160" t="e">
        <f t="shared" si="291"/>
        <v>#DIV/0!</v>
      </c>
      <c r="W507" s="98" t="str">
        <f t="shared" si="282"/>
        <v>1-38.8660200585998i</v>
      </c>
      <c r="X507" s="160">
        <f t="shared" si="292"/>
        <v>38.878882638207109</v>
      </c>
      <c r="Y507" s="160">
        <f t="shared" si="293"/>
        <v>-1.5450725861473054</v>
      </c>
      <c r="Z507" s="98" t="str">
        <f t="shared" si="283"/>
        <v>-11.4495782246768+4.615243788181i</v>
      </c>
      <c r="AA507" s="160">
        <f t="shared" si="294"/>
        <v>12.344768800886328</v>
      </c>
      <c r="AB507" s="160">
        <f t="shared" si="295"/>
        <v>2.7584228229407821</v>
      </c>
      <c r="AC507" s="171" t="e">
        <f t="shared" si="296"/>
        <v>#DIV/0!</v>
      </c>
      <c r="AD507" s="190" t="e">
        <f t="shared" si="297"/>
        <v>#DIV/0!</v>
      </c>
      <c r="AE507" s="169" t="e">
        <f t="shared" si="298"/>
        <v>#DIV/0!</v>
      </c>
      <c r="AF507" s="98" t="str">
        <f t="shared" si="284"/>
        <v>-0.0000182926829268293</v>
      </c>
      <c r="AG507" s="98" t="str">
        <f t="shared" si="285"/>
        <v>0.108373705499869i</v>
      </c>
      <c r="AH507" s="98">
        <f t="shared" si="299"/>
        <v>0.10837370549986899</v>
      </c>
      <c r="AI507" s="98">
        <f t="shared" si="300"/>
        <v>1.5707963267948966</v>
      </c>
      <c r="AJ507" s="98" t="str">
        <f t="shared" si="286"/>
        <v>1+10.6238315361111i</v>
      </c>
      <c r="AK507" s="98">
        <f t="shared" si="301"/>
        <v>10.670791746991821</v>
      </c>
      <c r="AL507" s="98">
        <f t="shared" si="302"/>
        <v>1.4769448535205418</v>
      </c>
      <c r="AM507" s="98" t="str">
        <f t="shared" si="287"/>
        <v>1+1073.00698514722i</v>
      </c>
      <c r="AN507" s="98">
        <f t="shared" si="303"/>
        <v>1073.0074511273097</v>
      </c>
      <c r="AO507" s="98">
        <f t="shared" si="304"/>
        <v>1.569864366682497</v>
      </c>
      <c r="AP507" s="168" t="str">
        <f t="shared" si="305"/>
        <v>-0.00157485789027229+0.0168998175509769i</v>
      </c>
      <c r="AQ507" s="98">
        <f t="shared" si="306"/>
        <v>-35.404808454595745</v>
      </c>
      <c r="AR507" s="169">
        <f t="shared" si="307"/>
        <v>95.323895938590297</v>
      </c>
      <c r="AS507" s="168" t="e">
        <f t="shared" si="308"/>
        <v>#DIV/0!</v>
      </c>
      <c r="AT507" s="190" t="e">
        <f t="shared" si="309"/>
        <v>#DIV/0!</v>
      </c>
      <c r="AU507" s="169" t="e">
        <f t="shared" si="310"/>
        <v>#DIV/0!</v>
      </c>
      <c r="AV507" s="225"/>
      <c r="AX507" t="e">
        <f t="shared" si="311"/>
        <v>#DIV/0!</v>
      </c>
      <c r="AY507" t="e">
        <f t="shared" si="312"/>
        <v>#DIV/0!</v>
      </c>
    </row>
    <row r="508" spans="14:51" x14ac:dyDescent="0.25">
      <c r="N508" s="170">
        <v>90</v>
      </c>
      <c r="O508" s="199">
        <f t="shared" si="313"/>
        <v>794328.23472428333</v>
      </c>
      <c r="P508" s="189" t="str">
        <f t="shared" si="279"/>
        <v>290</v>
      </c>
      <c r="Q508" s="160" t="e">
        <f t="shared" si="280"/>
        <v>#DIV/0!</v>
      </c>
      <c r="R508" s="160" t="e">
        <f t="shared" si="288"/>
        <v>#DIV/0!</v>
      </c>
      <c r="S508" s="160" t="e">
        <f t="shared" si="289"/>
        <v>#DIV/0!</v>
      </c>
      <c r="T508" s="160" t="e">
        <f t="shared" si="281"/>
        <v>#DIV/0!</v>
      </c>
      <c r="U508" s="160" t="e">
        <f t="shared" si="290"/>
        <v>#DIV/0!</v>
      </c>
      <c r="V508" s="160" t="e">
        <f t="shared" si="291"/>
        <v>#DIV/0!</v>
      </c>
      <c r="W508" s="98" t="str">
        <f t="shared" si="282"/>
        <v>1-39.7713259638085i</v>
      </c>
      <c r="X508" s="160">
        <f t="shared" si="292"/>
        <v>39.783895848942542</v>
      </c>
      <c r="Y508" s="160">
        <f t="shared" si="293"/>
        <v>-1.545657880446057</v>
      </c>
      <c r="Z508" s="98" t="str">
        <f t="shared" si="283"/>
        <v>-12.036308770252+4.72274662611291i</v>
      </c>
      <c r="AA508" s="160">
        <f t="shared" si="294"/>
        <v>12.929696999825872</v>
      </c>
      <c r="AB508" s="160">
        <f t="shared" si="295"/>
        <v>2.7676767876517236</v>
      </c>
      <c r="AC508" s="171" t="e">
        <f t="shared" si="296"/>
        <v>#DIV/0!</v>
      </c>
      <c r="AD508" s="190" t="e">
        <f t="shared" si="297"/>
        <v>#DIV/0!</v>
      </c>
      <c r="AE508" s="169" t="e">
        <f t="shared" si="298"/>
        <v>#DIV/0!</v>
      </c>
      <c r="AF508" s="98" t="str">
        <f t="shared" si="284"/>
        <v>-0.0000182926829268293</v>
      </c>
      <c r="AG508" s="98" t="str">
        <f t="shared" si="285"/>
        <v>0.110898053385515i</v>
      </c>
      <c r="AH508" s="98">
        <f t="shared" si="299"/>
        <v>0.11089805338551501</v>
      </c>
      <c r="AI508" s="98">
        <f t="shared" si="300"/>
        <v>1.5707963267948966</v>
      </c>
      <c r="AJ508" s="98" t="str">
        <f t="shared" si="286"/>
        <v>1+10.8712923620738i</v>
      </c>
      <c r="AK508" s="98">
        <f t="shared" si="301"/>
        <v>10.917188173778273</v>
      </c>
      <c r="AL508" s="98">
        <f t="shared" si="302"/>
        <v>1.4790690727916267</v>
      </c>
      <c r="AM508" s="98" t="str">
        <f t="shared" si="287"/>
        <v>1+1098.00052856945i</v>
      </c>
      <c r="AN508" s="98">
        <f t="shared" si="303"/>
        <v>1098.0009839425425</v>
      </c>
      <c r="AO508" s="98">
        <f t="shared" si="304"/>
        <v>1.5698855806727461</v>
      </c>
      <c r="AP508" s="168" t="str">
        <f t="shared" si="305"/>
        <v>-0.00150457231732676+0.0165215959835777i</v>
      </c>
      <c r="AQ508" s="98">
        <f t="shared" si="306"/>
        <v>-35.60309166139848</v>
      </c>
      <c r="AR508" s="169">
        <f t="shared" si="307"/>
        <v>95.203402611704718</v>
      </c>
      <c r="AS508" s="168" t="e">
        <f t="shared" si="308"/>
        <v>#DIV/0!</v>
      </c>
      <c r="AT508" s="190" t="e">
        <f t="shared" si="309"/>
        <v>#DIV/0!</v>
      </c>
      <c r="AU508" s="169" t="e">
        <f t="shared" si="310"/>
        <v>#DIV/0!</v>
      </c>
      <c r="AV508" s="225"/>
      <c r="AX508" t="e">
        <f t="shared" si="311"/>
        <v>#DIV/0!</v>
      </c>
      <c r="AY508" t="e">
        <f t="shared" si="312"/>
        <v>#DIV/0!</v>
      </c>
    </row>
    <row r="509" spans="14:51" x14ac:dyDescent="0.25">
      <c r="N509" s="170">
        <v>91</v>
      </c>
      <c r="O509" s="199">
        <f t="shared" si="313"/>
        <v>812830.51616410096</v>
      </c>
      <c r="P509" s="189" t="str">
        <f t="shared" si="279"/>
        <v>290</v>
      </c>
      <c r="Q509" s="160" t="e">
        <f t="shared" si="280"/>
        <v>#DIV/0!</v>
      </c>
      <c r="R509" s="160" t="e">
        <f t="shared" si="288"/>
        <v>#DIV/0!</v>
      </c>
      <c r="S509" s="160" t="e">
        <f t="shared" si="289"/>
        <v>#DIV/0!</v>
      </c>
      <c r="T509" s="160" t="e">
        <f t="shared" si="281"/>
        <v>#DIV/0!</v>
      </c>
      <c r="U509" s="160" t="e">
        <f t="shared" si="290"/>
        <v>#DIV/0!</v>
      </c>
      <c r="V509" s="160" t="e">
        <f t="shared" si="291"/>
        <v>#DIV/0!</v>
      </c>
      <c r="W509" s="98" t="str">
        <f t="shared" si="282"/>
        <v>1-40.6977191524788i</v>
      </c>
      <c r="X509" s="160">
        <f t="shared" si="292"/>
        <v>40.71000299943541</v>
      </c>
      <c r="Y509" s="160">
        <f t="shared" si="293"/>
        <v>-1.5462298684666504</v>
      </c>
      <c r="Z509" s="98" t="str">
        <f t="shared" si="283"/>
        <v>-12.6506910745372+4.83275352681892i</v>
      </c>
      <c r="AA509" s="160">
        <f t="shared" si="294"/>
        <v>13.542359148773004</v>
      </c>
      <c r="AB509" s="160">
        <f t="shared" si="295"/>
        <v>2.7766860902233534</v>
      </c>
      <c r="AC509" s="171" t="e">
        <f t="shared" si="296"/>
        <v>#DIV/0!</v>
      </c>
      <c r="AD509" s="190" t="e">
        <f t="shared" si="297"/>
        <v>#DIV/0!</v>
      </c>
      <c r="AE509" s="169" t="e">
        <f t="shared" si="298"/>
        <v>#DIV/0!</v>
      </c>
      <c r="AF509" s="98" t="str">
        <f t="shared" si="284"/>
        <v>-0.0000182926829268293</v>
      </c>
      <c r="AG509" s="98" t="str">
        <f t="shared" si="285"/>
        <v>0.113481200886974i</v>
      </c>
      <c r="AH509" s="98">
        <f t="shared" si="299"/>
        <v>0.113481200886974</v>
      </c>
      <c r="AI509" s="98">
        <f t="shared" si="300"/>
        <v>1.5707963267948966</v>
      </c>
      <c r="AJ509" s="98" t="str">
        <f t="shared" si="286"/>
        <v>1+11.1245172911454i</v>
      </c>
      <c r="AK509" s="98">
        <f t="shared" si="301"/>
        <v>11.169372630590896</v>
      </c>
      <c r="AL509" s="98">
        <f t="shared" si="302"/>
        <v>1.4811457413818061</v>
      </c>
      <c r="AM509" s="98" t="str">
        <f t="shared" si="287"/>
        <v>1+1123.57624640568i</v>
      </c>
      <c r="AN509" s="98">
        <f t="shared" si="303"/>
        <v>1123.5766914132196</v>
      </c>
      <c r="AO509" s="98">
        <f t="shared" si="304"/>
        <v>1.5699063117744148</v>
      </c>
      <c r="AP509" s="168" t="str">
        <f t="shared" si="305"/>
        <v>-0.00143739820784019+0.01615155692895i</v>
      </c>
      <c r="AQ509" s="98">
        <f t="shared" si="306"/>
        <v>-35.801451502725534</v>
      </c>
      <c r="AR509" s="169">
        <f t="shared" si="307"/>
        <v>95.085606070670295</v>
      </c>
      <c r="AS509" s="168" t="e">
        <f t="shared" si="308"/>
        <v>#DIV/0!</v>
      </c>
      <c r="AT509" s="190" t="e">
        <f t="shared" si="309"/>
        <v>#DIV/0!</v>
      </c>
      <c r="AU509" s="169" t="e">
        <f t="shared" si="310"/>
        <v>#DIV/0!</v>
      </c>
      <c r="AV509" s="225"/>
      <c r="AX509" t="e">
        <f t="shared" si="311"/>
        <v>#DIV/0!</v>
      </c>
      <c r="AY509" t="e">
        <f t="shared" si="312"/>
        <v>#DIV/0!</v>
      </c>
    </row>
    <row r="510" spans="14:51" x14ac:dyDescent="0.25">
      <c r="N510" s="170">
        <v>92</v>
      </c>
      <c r="O510" s="199">
        <f t="shared" si="313"/>
        <v>831763.77110267128</v>
      </c>
      <c r="P510" s="189" t="str">
        <f t="shared" si="279"/>
        <v>290</v>
      </c>
      <c r="Q510" s="160" t="e">
        <f t="shared" si="280"/>
        <v>#DIV/0!</v>
      </c>
      <c r="R510" s="160" t="e">
        <f t="shared" si="288"/>
        <v>#DIV/0!</v>
      </c>
      <c r="S510" s="160" t="e">
        <f t="shared" si="289"/>
        <v>#DIV/0!</v>
      </c>
      <c r="T510" s="160" t="e">
        <f t="shared" si="281"/>
        <v>#DIV/0!</v>
      </c>
      <c r="U510" s="160" t="e">
        <f t="shared" si="290"/>
        <v>#DIV/0!</v>
      </c>
      <c r="V510" s="160" t="e">
        <f t="shared" si="291"/>
        <v>#DIV/0!</v>
      </c>
      <c r="W510" s="98" t="str">
        <f t="shared" si="282"/>
        <v>1-41.6456908105417i</v>
      </c>
      <c r="X510" s="160">
        <f t="shared" si="292"/>
        <v>41.65769512451736</v>
      </c>
      <c r="Y510" s="160">
        <f t="shared" si="293"/>
        <v>-1.5467888519867474</v>
      </c>
      <c r="Z510" s="98" t="str">
        <f t="shared" si="283"/>
        <v>-13.2940283247714+4.94532281741389i</v>
      </c>
      <c r="AA510" s="160">
        <f t="shared" si="294"/>
        <v>14.184054669531513</v>
      </c>
      <c r="AB510" s="160">
        <f t="shared" si="295"/>
        <v>2.7854583927039758</v>
      </c>
      <c r="AC510" s="171" t="e">
        <f t="shared" si="296"/>
        <v>#DIV/0!</v>
      </c>
      <c r="AD510" s="190" t="e">
        <f t="shared" si="297"/>
        <v>#DIV/0!</v>
      </c>
      <c r="AE510" s="169" t="e">
        <f t="shared" si="298"/>
        <v>#DIV/0!</v>
      </c>
      <c r="AF510" s="98" t="str">
        <f t="shared" si="284"/>
        <v>-0.0000182926829268293</v>
      </c>
      <c r="AG510" s="98" t="str">
        <f t="shared" si="285"/>
        <v>0.116124517623245i</v>
      </c>
      <c r="AH510" s="98">
        <f t="shared" si="299"/>
        <v>0.11612451762324499</v>
      </c>
      <c r="AI510" s="98">
        <f t="shared" si="300"/>
        <v>1.5707963267948966</v>
      </c>
      <c r="AJ510" s="98" t="str">
        <f t="shared" si="286"/>
        <v>1+11.3836405865351i</v>
      </c>
      <c r="AK510" s="98">
        <f t="shared" si="301"/>
        <v>11.427478855959839</v>
      </c>
      <c r="AL510" s="98">
        <f t="shared" si="302"/>
        <v>1.4831758886827027</v>
      </c>
      <c r="AM510" s="98" t="str">
        <f t="shared" si="287"/>
        <v>1+1149.74769924005i</v>
      </c>
      <c r="AN510" s="98">
        <f t="shared" si="303"/>
        <v>1149.748134117985</v>
      </c>
      <c r="AO510" s="98">
        <f t="shared" si="304"/>
        <v>1.569926570979336</v>
      </c>
      <c r="AP510" s="168" t="str">
        <f t="shared" si="305"/>
        <v>-0.00137320003655763+0.0157895421187939i</v>
      </c>
      <c r="AQ510" s="98">
        <f t="shared" si="306"/>
        <v>-35.999884584794003</v>
      </c>
      <c r="AR510" s="169">
        <f t="shared" si="307"/>
        <v>94.970447965477362</v>
      </c>
      <c r="AS510" s="168" t="e">
        <f t="shared" si="308"/>
        <v>#DIV/0!</v>
      </c>
      <c r="AT510" s="190" t="e">
        <f t="shared" si="309"/>
        <v>#DIV/0!</v>
      </c>
      <c r="AU510" s="169" t="e">
        <f t="shared" si="310"/>
        <v>#DIV/0!</v>
      </c>
      <c r="AV510" s="225"/>
      <c r="AX510" t="e">
        <f t="shared" si="311"/>
        <v>#DIV/0!</v>
      </c>
      <c r="AY510" t="e">
        <f t="shared" si="312"/>
        <v>#DIV/0!</v>
      </c>
    </row>
    <row r="511" spans="14:51" x14ac:dyDescent="0.25">
      <c r="N511" s="170">
        <v>93</v>
      </c>
      <c r="O511" s="199">
        <f t="shared" si="313"/>
        <v>851138.03820237669</v>
      </c>
      <c r="P511" s="189" t="str">
        <f t="shared" si="279"/>
        <v>290</v>
      </c>
      <c r="Q511" s="160" t="e">
        <f t="shared" si="280"/>
        <v>#DIV/0!</v>
      </c>
      <c r="R511" s="160" t="e">
        <f t="shared" si="288"/>
        <v>#DIV/0!</v>
      </c>
      <c r="S511" s="160" t="e">
        <f t="shared" si="289"/>
        <v>#DIV/0!</v>
      </c>
      <c r="T511" s="160" t="e">
        <f t="shared" si="281"/>
        <v>#DIV/0!</v>
      </c>
      <c r="U511" s="160" t="e">
        <f t="shared" si="290"/>
        <v>#DIV/0!</v>
      </c>
      <c r="V511" s="160" t="e">
        <f t="shared" si="291"/>
        <v>#DIV/0!</v>
      </c>
      <c r="W511" s="98" t="str">
        <f t="shared" si="282"/>
        <v>1-42.6157435651183i</v>
      </c>
      <c r="X511" s="160">
        <f t="shared" si="292"/>
        <v>42.627474703621864</v>
      </c>
      <c r="Y511" s="160">
        <f t="shared" si="293"/>
        <v>-1.5473351259887176</v>
      </c>
      <c r="Z511" s="98" t="str">
        <f t="shared" si="283"/>
        <v>-13.9676851255163+5.06051418362574i</v>
      </c>
      <c r="AA511" s="160">
        <f t="shared" si="294"/>
        <v>14.856144572810491</v>
      </c>
      <c r="AB511" s="160">
        <f t="shared" si="295"/>
        <v>2.794001064608334</v>
      </c>
      <c r="AC511" s="171" t="e">
        <f t="shared" si="296"/>
        <v>#DIV/0!</v>
      </c>
      <c r="AD511" s="190" t="e">
        <f t="shared" si="297"/>
        <v>#DIV/0!</v>
      </c>
      <c r="AE511" s="169" t="e">
        <f t="shared" si="298"/>
        <v>#DIV/0!</v>
      </c>
      <c r="AF511" s="98" t="str">
        <f t="shared" si="284"/>
        <v>-0.0000182926829268293</v>
      </c>
      <c r="AG511" s="98" t="str">
        <f t="shared" si="285"/>
        <v>0.11882940511585i</v>
      </c>
      <c r="AH511" s="98">
        <f t="shared" si="299"/>
        <v>0.11882940511585</v>
      </c>
      <c r="AI511" s="98">
        <f t="shared" si="300"/>
        <v>1.5707963267948966</v>
      </c>
      <c r="AJ511" s="98" t="str">
        <f t="shared" si="286"/>
        <v>1+11.6487996388442i</v>
      </c>
      <c r="AK511" s="98">
        <f t="shared" si="301"/>
        <v>11.691643726437132</v>
      </c>
      <c r="AL511" s="98">
        <f t="shared" si="302"/>
        <v>1.4851605241302277</v>
      </c>
      <c r="AM511" s="98" t="str">
        <f t="shared" si="287"/>
        <v>1+1176.52876352326i</v>
      </c>
      <c r="AN511" s="98">
        <f t="shared" si="303"/>
        <v>1176.5291885021686</v>
      </c>
      <c r="AO511" s="98">
        <f t="shared" si="304"/>
        <v>1.5699463690291418</v>
      </c>
      <c r="AP511" s="168" t="str">
        <f t="shared" si="305"/>
        <v>-0.00131184798757253+0.0154353950733014i</v>
      </c>
      <c r="AQ511" s="98">
        <f t="shared" si="306"/>
        <v>-36.198387661753614</v>
      </c>
      <c r="AR511" s="169">
        <f t="shared" si="307"/>
        <v>94.857871075158585</v>
      </c>
      <c r="AS511" s="168" t="e">
        <f t="shared" si="308"/>
        <v>#DIV/0!</v>
      </c>
      <c r="AT511" s="190" t="e">
        <f t="shared" si="309"/>
        <v>#DIV/0!</v>
      </c>
      <c r="AU511" s="169" t="e">
        <f t="shared" si="310"/>
        <v>#DIV/0!</v>
      </c>
      <c r="AV511" s="225"/>
      <c r="AX511" t="e">
        <f t="shared" si="311"/>
        <v>#DIV/0!</v>
      </c>
      <c r="AY511" t="e">
        <f t="shared" si="312"/>
        <v>#DIV/0!</v>
      </c>
    </row>
    <row r="512" spans="14:51" x14ac:dyDescent="0.25">
      <c r="N512" s="170">
        <v>94</v>
      </c>
      <c r="O512" s="199">
        <f t="shared" si="313"/>
        <v>870963.58995608077</v>
      </c>
      <c r="P512" s="189" t="str">
        <f t="shared" si="279"/>
        <v>290</v>
      </c>
      <c r="Q512" s="160" t="e">
        <f t="shared" si="280"/>
        <v>#DIV/0!</v>
      </c>
      <c r="R512" s="160" t="e">
        <f t="shared" si="288"/>
        <v>#DIV/0!</v>
      </c>
      <c r="S512" s="160" t="e">
        <f t="shared" si="289"/>
        <v>#DIV/0!</v>
      </c>
      <c r="T512" s="160" t="e">
        <f t="shared" si="281"/>
        <v>#DIV/0!</v>
      </c>
      <c r="U512" s="160" t="e">
        <f t="shared" si="290"/>
        <v>#DIV/0!</v>
      </c>
      <c r="V512" s="160" t="e">
        <f t="shared" si="291"/>
        <v>#DIV/0!</v>
      </c>
      <c r="W512" s="98" t="str">
        <f t="shared" si="282"/>
        <v>1-43.6083917510192i</v>
      </c>
      <c r="X512" s="160">
        <f t="shared" si="292"/>
        <v>43.61985592720773</v>
      </c>
      <c r="Y512" s="160">
        <f t="shared" si="293"/>
        <v>-1.5478689788093882</v>
      </c>
      <c r="Z512" s="98" t="str">
        <f t="shared" si="283"/>
        <v>-14.673090393165+5.17838870144158i</v>
      </c>
      <c r="AA512" s="160">
        <f t="shared" si="294"/>
        <v>15.56005434531669</v>
      </c>
      <c r="AB512" s="160">
        <f t="shared" si="295"/>
        <v>2.8023211947943309</v>
      </c>
      <c r="AC512" s="171" t="e">
        <f t="shared" si="296"/>
        <v>#DIV/0!</v>
      </c>
      <c r="AD512" s="190" t="e">
        <f t="shared" si="297"/>
        <v>#DIV/0!</v>
      </c>
      <c r="AE512" s="169" t="e">
        <f t="shared" si="298"/>
        <v>#DIV/0!</v>
      </c>
      <c r="AF512" s="98" t="str">
        <f t="shared" si="284"/>
        <v>-0.0000182926829268293</v>
      </c>
      <c r="AG512" s="98" t="str">
        <f t="shared" si="285"/>
        <v>0.12159729753194i</v>
      </c>
      <c r="AH512" s="98">
        <f t="shared" si="299"/>
        <v>0.12159729753194</v>
      </c>
      <c r="AI512" s="98">
        <f t="shared" si="300"/>
        <v>1.5707963267948966</v>
      </c>
      <c r="AJ512" s="98" t="str">
        <f t="shared" si="286"/>
        <v>1+11.9201350389118i</v>
      </c>
      <c r="AK512" s="98">
        <f t="shared" si="301"/>
        <v>11.962007329286035</v>
      </c>
      <c r="AL512" s="98">
        <f t="shared" si="302"/>
        <v>1.487100637433364</v>
      </c>
      <c r="AM512" s="98" t="str">
        <f t="shared" si="287"/>
        <v>1+1203.93363893009i</v>
      </c>
      <c r="AN512" s="98">
        <f t="shared" si="303"/>
        <v>1203.9340542353009</v>
      </c>
      <c r="AO512" s="98">
        <f t="shared" si="304"/>
        <v>1.5699657164209582</v>
      </c>
      <c r="AP512" s="168" t="str">
        <f t="shared" si="305"/>
        <v>-0.00125321773083177+0.0150889611757663i</v>
      </c>
      <c r="AQ512" s="98">
        <f t="shared" si="306"/>
        <v>-36.396957629443747</v>
      </c>
      <c r="AR512" s="169">
        <f t="shared" si="307"/>
        <v>94.747819295007361</v>
      </c>
      <c r="AS512" s="168" t="e">
        <f t="shared" si="308"/>
        <v>#DIV/0!</v>
      </c>
      <c r="AT512" s="190" t="e">
        <f t="shared" si="309"/>
        <v>#DIV/0!</v>
      </c>
      <c r="AU512" s="169" t="e">
        <f t="shared" si="310"/>
        <v>#DIV/0!</v>
      </c>
      <c r="AV512" s="225"/>
      <c r="AX512" t="e">
        <f t="shared" si="311"/>
        <v>#DIV/0!</v>
      </c>
      <c r="AY512" t="e">
        <f t="shared" si="312"/>
        <v>#DIV/0!</v>
      </c>
    </row>
    <row r="513" spans="14:51" x14ac:dyDescent="0.25">
      <c r="N513" s="170">
        <v>95</v>
      </c>
      <c r="O513" s="199">
        <f t="shared" si="313"/>
        <v>891250.93813374708</v>
      </c>
      <c r="P513" s="189" t="str">
        <f t="shared" si="279"/>
        <v>290</v>
      </c>
      <c r="Q513" s="160" t="e">
        <f t="shared" si="280"/>
        <v>#DIV/0!</v>
      </c>
      <c r="R513" s="160" t="e">
        <f t="shared" si="288"/>
        <v>#DIV/0!</v>
      </c>
      <c r="S513" s="160" t="e">
        <f t="shared" si="289"/>
        <v>#DIV/0!</v>
      </c>
      <c r="T513" s="160" t="e">
        <f t="shared" si="281"/>
        <v>#DIV/0!</v>
      </c>
      <c r="U513" s="160" t="e">
        <f t="shared" si="290"/>
        <v>#DIV/0!</v>
      </c>
      <c r="V513" s="160" t="e">
        <f t="shared" si="291"/>
        <v>#DIV/0!</v>
      </c>
      <c r="W513" s="98" t="str">
        <f t="shared" si="282"/>
        <v>1-44.6241616834518i</v>
      </c>
      <c r="X513" s="160">
        <f t="shared" si="292"/>
        <v>44.635364969392242</v>
      </c>
      <c r="Y513" s="160">
        <f t="shared" si="293"/>
        <v>-1.5483906922867141</v>
      </c>
      <c r="Z513" s="98" t="str">
        <f t="shared" si="283"/>
        <v>-15.4117403868654+5.29900886949101i</v>
      </c>
      <c r="AA513" s="160">
        <f t="shared" si="294"/>
        <v>16.297276973503347</v>
      </c>
      <c r="AB513" s="160">
        <f t="shared" si="295"/>
        <v>2.8104256030558883</v>
      </c>
      <c r="AC513" s="171" t="e">
        <f t="shared" si="296"/>
        <v>#DIV/0!</v>
      </c>
      <c r="AD513" s="190" t="e">
        <f t="shared" si="297"/>
        <v>#DIV/0!</v>
      </c>
      <c r="AE513" s="169" t="e">
        <f t="shared" si="298"/>
        <v>#DIV/0!</v>
      </c>
      <c r="AF513" s="98" t="str">
        <f t="shared" si="284"/>
        <v>-0.0000182926829268293</v>
      </c>
      <c r="AG513" s="98" t="str">
        <f t="shared" si="285"/>
        <v>0.124429662444712i</v>
      </c>
      <c r="AH513" s="98">
        <f t="shared" si="299"/>
        <v>0.124429662444712</v>
      </c>
      <c r="AI513" s="98">
        <f t="shared" si="300"/>
        <v>1.5707963267948966</v>
      </c>
      <c r="AJ513" s="98" t="str">
        <f t="shared" si="286"/>
        <v>1+12.1977906523588i</v>
      </c>
      <c r="AK513" s="98">
        <f t="shared" si="301"/>
        <v>12.238713036866731</v>
      </c>
      <c r="AL513" s="98">
        <f t="shared" si="302"/>
        <v>1.4889971988120974</v>
      </c>
      <c r="AM513" s="98" t="str">
        <f t="shared" si="287"/>
        <v>1+1231.97685588823i</v>
      </c>
      <c r="AN513" s="98">
        <f t="shared" si="303"/>
        <v>1231.9772617399431</v>
      </c>
      <c r="AO513" s="98">
        <f t="shared" si="304"/>
        <v>1.5699846234129704</v>
      </c>
      <c r="AP513" s="168" t="str">
        <f t="shared" si="305"/>
        <v>-0.00119719020586503+0.0147500877384058i</v>
      </c>
      <c r="AQ513" s="98">
        <f t="shared" si="306"/>
        <v>-36.595591519398454</v>
      </c>
      <c r="AR513" s="169">
        <f t="shared" si="307"/>
        <v>94.640237623263999</v>
      </c>
      <c r="AS513" s="168" t="e">
        <f t="shared" si="308"/>
        <v>#DIV/0!</v>
      </c>
      <c r="AT513" s="190" t="e">
        <f t="shared" si="309"/>
        <v>#DIV/0!</v>
      </c>
      <c r="AU513" s="169" t="e">
        <f t="shared" si="310"/>
        <v>#DIV/0!</v>
      </c>
      <c r="AV513" s="225"/>
      <c r="AX513" t="e">
        <f t="shared" si="311"/>
        <v>#DIV/0!</v>
      </c>
      <c r="AY513" t="e">
        <f t="shared" si="312"/>
        <v>#DIV/0!</v>
      </c>
    </row>
    <row r="514" spans="14:51" x14ac:dyDescent="0.25">
      <c r="N514" s="170">
        <v>96</v>
      </c>
      <c r="O514" s="199">
        <f t="shared" si="313"/>
        <v>912010.83935591124</v>
      </c>
      <c r="P514" s="189" t="str">
        <f t="shared" si="279"/>
        <v>290</v>
      </c>
      <c r="Q514" s="160" t="e">
        <f t="shared" si="280"/>
        <v>#DIV/0!</v>
      </c>
      <c r="R514" s="160" t="e">
        <f t="shared" si="288"/>
        <v>#DIV/0!</v>
      </c>
      <c r="S514" s="160" t="e">
        <f t="shared" si="289"/>
        <v>#DIV/0!</v>
      </c>
      <c r="T514" s="160" t="e">
        <f t="shared" si="281"/>
        <v>#DIV/0!</v>
      </c>
      <c r="U514" s="160" t="e">
        <f t="shared" si="290"/>
        <v>#DIV/0!</v>
      </c>
      <c r="V514" s="160" t="e">
        <f t="shared" si="291"/>
        <v>#DIV/0!</v>
      </c>
      <c r="W514" s="98" t="str">
        <f t="shared" si="282"/>
        <v>1-45.6635919370796i</v>
      </c>
      <c r="X514" s="160">
        <f t="shared" si="292"/>
        <v>45.67454026693779</v>
      </c>
      <c r="Y514" s="160">
        <f t="shared" si="293"/>
        <v>-1.5489005419034152</v>
      </c>
      <c r="Z514" s="98" t="str">
        <f t="shared" si="283"/>
        <v>-16.1852018822866+5.42243864218371i</v>
      </c>
      <c r="AA514" s="160">
        <f t="shared" si="294"/>
        <v>17.069376110409564</v>
      </c>
      <c r="AB514" s="160">
        <f t="shared" si="295"/>
        <v>2.8183208513968769</v>
      </c>
      <c r="AC514" s="171" t="e">
        <f t="shared" si="296"/>
        <v>#DIV/0!</v>
      </c>
      <c r="AD514" s="190" t="e">
        <f t="shared" si="297"/>
        <v>#DIV/0!</v>
      </c>
      <c r="AE514" s="169" t="e">
        <f t="shared" si="298"/>
        <v>#DIV/0!</v>
      </c>
      <c r="AF514" s="98" t="str">
        <f t="shared" si="284"/>
        <v>-0.0000182926829268293</v>
      </c>
      <c r="AG514" s="98" t="str">
        <f t="shared" si="285"/>
        <v>0.127328001611533i</v>
      </c>
      <c r="AH514" s="98">
        <f t="shared" si="299"/>
        <v>0.12732800161153299</v>
      </c>
      <c r="AI514" s="98">
        <f t="shared" si="300"/>
        <v>1.5707963267948966</v>
      </c>
      <c r="AJ514" s="98" t="str">
        <f t="shared" si="286"/>
        <v>1+12.4819136958664i</v>
      </c>
      <c r="AK514" s="98">
        <f t="shared" si="301"/>
        <v>12.521907582755</v>
      </c>
      <c r="AL514" s="98">
        <f t="shared" si="302"/>
        <v>1.4908511592433855</v>
      </c>
      <c r="AM514" s="98" t="str">
        <f t="shared" si="287"/>
        <v>1+1260.67328328251i</v>
      </c>
      <c r="AN514" s="98">
        <f t="shared" si="303"/>
        <v>1260.6736798959134</v>
      </c>
      <c r="AO514" s="98">
        <f t="shared" si="304"/>
        <v>1.570003100029862</v>
      </c>
      <c r="AP514" s="168" t="str">
        <f t="shared" si="305"/>
        <v>-0.00114365141264993+0.0144186240600122i</v>
      </c>
      <c r="AQ514" s="98">
        <f t="shared" si="306"/>
        <v>-36.794286493085941</v>
      </c>
      <c r="AR514" s="169">
        <f t="shared" si="307"/>
        <v>94.535072147334532</v>
      </c>
      <c r="AS514" s="168" t="e">
        <f t="shared" si="308"/>
        <v>#DIV/0!</v>
      </c>
      <c r="AT514" s="190" t="e">
        <f t="shared" si="309"/>
        <v>#DIV/0!</v>
      </c>
      <c r="AU514" s="169" t="e">
        <f t="shared" si="310"/>
        <v>#DIV/0!</v>
      </c>
      <c r="AV514" s="225"/>
      <c r="AX514" t="e">
        <f t="shared" si="311"/>
        <v>#DIV/0!</v>
      </c>
      <c r="AY514" t="e">
        <f t="shared" si="312"/>
        <v>#DIV/0!</v>
      </c>
    </row>
    <row r="515" spans="14:51" x14ac:dyDescent="0.25">
      <c r="N515" s="170">
        <v>97</v>
      </c>
      <c r="O515" s="199">
        <f t="shared" si="313"/>
        <v>933254.30079699249</v>
      </c>
      <c r="P515" s="189" t="str">
        <f t="shared" si="279"/>
        <v>290</v>
      </c>
      <c r="Q515" s="160" t="e">
        <f t="shared" si="280"/>
        <v>#DIV/0!</v>
      </c>
      <c r="R515" s="160" t="e">
        <f t="shared" si="288"/>
        <v>#DIV/0!</v>
      </c>
      <c r="S515" s="160" t="e">
        <f t="shared" si="289"/>
        <v>#DIV/0!</v>
      </c>
      <c r="T515" s="160" t="e">
        <f t="shared" si="281"/>
        <v>#DIV/0!</v>
      </c>
      <c r="U515" s="160" t="e">
        <f t="shared" si="290"/>
        <v>#DIV/0!</v>
      </c>
      <c r="V515" s="160" t="e">
        <f t="shared" si="291"/>
        <v>#DIV/0!</v>
      </c>
      <c r="W515" s="98" t="str">
        <f t="shared" si="282"/>
        <v>1-46.7272336315815i</v>
      </c>
      <c r="X515" s="160">
        <f t="shared" si="292"/>
        <v>46.737932804740105</v>
      </c>
      <c r="Y515" s="160">
        <f t="shared" si="293"/>
        <v>-1.5493987969276295</v>
      </c>
      <c r="Z515" s="98" t="str">
        <f t="shared" si="283"/>
        <v>-16.9951154949604+5.54874346361896i</v>
      </c>
      <c r="AA515" s="160">
        <f t="shared" si="294"/>
        <v>17.877989392325336</v>
      </c>
      <c r="AB515" s="160">
        <f t="shared" si="295"/>
        <v>2.8260132549600034</v>
      </c>
      <c r="AC515" s="171" t="e">
        <f t="shared" si="296"/>
        <v>#DIV/0!</v>
      </c>
      <c r="AD515" s="190" t="e">
        <f t="shared" si="297"/>
        <v>#DIV/0!</v>
      </c>
      <c r="AE515" s="169" t="e">
        <f t="shared" si="298"/>
        <v>#DIV/0!</v>
      </c>
      <c r="AF515" s="98" t="str">
        <f t="shared" si="284"/>
        <v>-0.0000182926829268293</v>
      </c>
      <c r="AG515" s="98" t="str">
        <f t="shared" si="285"/>
        <v>0.130293851770195i</v>
      </c>
      <c r="AH515" s="98">
        <f t="shared" si="299"/>
        <v>0.13029385177019501</v>
      </c>
      <c r="AI515" s="98">
        <f t="shared" si="300"/>
        <v>1.5707963267948966</v>
      </c>
      <c r="AJ515" s="98" t="str">
        <f t="shared" si="286"/>
        <v>1+12.7726548152333i</v>
      </c>
      <c r="AK515" s="98">
        <f t="shared" si="301"/>
        <v>12.811741139638375</v>
      </c>
      <c r="AL515" s="98">
        <f t="shared" si="302"/>
        <v>1.4926634507141729</v>
      </c>
      <c r="AM515" s="98" t="str">
        <f t="shared" si="287"/>
        <v>1+1290.03813633856i</v>
      </c>
      <c r="AN515" s="98">
        <f t="shared" si="303"/>
        <v>1290.0385239239426</v>
      </c>
      <c r="AO515" s="98">
        <f t="shared" si="304"/>
        <v>1.570021156068129</v>
      </c>
      <c r="AP515" s="168" t="str">
        <f t="shared" si="305"/>
        <v>-0.00109249220950704+0.0140944214759998i</v>
      </c>
      <c r="AQ515" s="98">
        <f t="shared" si="306"/>
        <v>-36.993039836379737</v>
      </c>
      <c r="AR515" s="169">
        <f t="shared" si="307"/>
        <v>94.432270029598243</v>
      </c>
      <c r="AS515" s="168" t="e">
        <f t="shared" si="308"/>
        <v>#DIV/0!</v>
      </c>
      <c r="AT515" s="190" t="e">
        <f t="shared" si="309"/>
        <v>#DIV/0!</v>
      </c>
      <c r="AU515" s="169" t="e">
        <f t="shared" si="310"/>
        <v>#DIV/0!</v>
      </c>
      <c r="AV515" s="225"/>
      <c r="AX515" t="e">
        <f t="shared" si="311"/>
        <v>#DIV/0!</v>
      </c>
      <c r="AY515" t="e">
        <f t="shared" si="312"/>
        <v>#DIV/0!</v>
      </c>
    </row>
    <row r="516" spans="14:51" x14ac:dyDescent="0.25">
      <c r="N516" s="170">
        <v>98</v>
      </c>
      <c r="O516" s="199">
        <f t="shared" si="313"/>
        <v>954992.58602143743</v>
      </c>
      <c r="P516" s="189" t="str">
        <f t="shared" si="279"/>
        <v>290</v>
      </c>
      <c r="Q516" s="160" t="e">
        <f t="shared" si="280"/>
        <v>#DIV/0!</v>
      </c>
      <c r="R516" s="160" t="e">
        <f t="shared" si="288"/>
        <v>#DIV/0!</v>
      </c>
      <c r="S516" s="160" t="e">
        <f t="shared" si="289"/>
        <v>#DIV/0!</v>
      </c>
      <c r="T516" s="160" t="e">
        <f t="shared" si="281"/>
        <v>#DIV/0!</v>
      </c>
      <c r="U516" s="160" t="e">
        <f t="shared" si="290"/>
        <v>#DIV/0!</v>
      </c>
      <c r="V516" s="160" t="e">
        <f t="shared" si="291"/>
        <v>#DIV/0!</v>
      </c>
      <c r="W516" s="98" t="str">
        <f t="shared" si="282"/>
        <v>1-47.8156507238629i</v>
      </c>
      <c r="X516" s="160">
        <f t="shared" si="292"/>
        <v>47.82610640796981</v>
      </c>
      <c r="Y516" s="160">
        <f t="shared" si="293"/>
        <v>-1.5498857205506322</v>
      </c>
      <c r="Z516" s="98" t="str">
        <f t="shared" si="283"/>
        <v>-17.8431991602461+5.67799030228492i</v>
      </c>
      <c r="AA516" s="160">
        <f t="shared" si="294"/>
        <v>18.724831912330984</v>
      </c>
      <c r="AB516" s="160">
        <f t="shared" si="295"/>
        <v>2.8335088925920529</v>
      </c>
      <c r="AC516" s="171" t="e">
        <f t="shared" si="296"/>
        <v>#DIV/0!</v>
      </c>
      <c r="AD516" s="190" t="e">
        <f t="shared" si="297"/>
        <v>#DIV/0!</v>
      </c>
      <c r="AE516" s="169" t="e">
        <f t="shared" si="298"/>
        <v>#DIV/0!</v>
      </c>
      <c r="AF516" s="98" t="str">
        <f t="shared" si="284"/>
        <v>-0.0000182926829268293</v>
      </c>
      <c r="AG516" s="98" t="str">
        <f t="shared" si="285"/>
        <v>0.133328785453708i</v>
      </c>
      <c r="AH516" s="98">
        <f t="shared" si="299"/>
        <v>0.13332878545370799</v>
      </c>
      <c r="AI516" s="98">
        <f t="shared" si="300"/>
        <v>1.5707963267948966</v>
      </c>
      <c r="AJ516" s="98" t="str">
        <f t="shared" si="286"/>
        <v>1+13.0701681652492i</v>
      </c>
      <c r="AK516" s="98">
        <f t="shared" si="301"/>
        <v>13.108367399027752</v>
      </c>
      <c r="AL516" s="98">
        <f t="shared" si="302"/>
        <v>1.4944349864804847</v>
      </c>
      <c r="AM516" s="98" t="str">
        <f t="shared" si="287"/>
        <v>1+1320.08698469017i</v>
      </c>
      <c r="AN516" s="98">
        <f t="shared" si="303"/>
        <v>1320.0873634530351</v>
      </c>
      <c r="AO516" s="98">
        <f t="shared" si="304"/>
        <v>1.5700388011012749</v>
      </c>
      <c r="AP516" s="168" t="str">
        <f t="shared" si="305"/>
        <v>-0.00104360811790854+0.0137773334013964i</v>
      </c>
      <c r="AQ516" s="98">
        <f t="shared" si="306"/>
        <v>-37.191848954248755</v>
      </c>
      <c r="AR516" s="169">
        <f t="shared" si="307"/>
        <v>94.331779492860761</v>
      </c>
      <c r="AS516" s="168" t="e">
        <f t="shared" si="308"/>
        <v>#DIV/0!</v>
      </c>
      <c r="AT516" s="190" t="e">
        <f t="shared" si="309"/>
        <v>#DIV/0!</v>
      </c>
      <c r="AU516" s="169" t="e">
        <f t="shared" si="310"/>
        <v>#DIV/0!</v>
      </c>
      <c r="AV516" s="225"/>
      <c r="AX516" t="e">
        <f t="shared" si="311"/>
        <v>#DIV/0!</v>
      </c>
      <c r="AY516" t="e">
        <f t="shared" si="312"/>
        <v>#DIV/0!</v>
      </c>
    </row>
    <row r="517" spans="14:51" x14ac:dyDescent="0.25">
      <c r="N517" s="170">
        <v>99</v>
      </c>
      <c r="O517" s="199">
        <f t="shared" si="313"/>
        <v>977237.22095581202</v>
      </c>
      <c r="P517" s="189" t="str">
        <f t="shared" si="279"/>
        <v>290</v>
      </c>
      <c r="Q517" s="160" t="e">
        <f t="shared" si="280"/>
        <v>#DIV/0!</v>
      </c>
      <c r="R517" s="160" t="e">
        <f t="shared" si="288"/>
        <v>#DIV/0!</v>
      </c>
      <c r="S517" s="160" t="e">
        <f t="shared" si="289"/>
        <v>#DIV/0!</v>
      </c>
      <c r="T517" s="160" t="e">
        <f t="shared" si="281"/>
        <v>#DIV/0!</v>
      </c>
      <c r="U517" s="160" t="e">
        <f t="shared" si="290"/>
        <v>#DIV/0!</v>
      </c>
      <c r="V517" s="160" t="e">
        <f t="shared" si="291"/>
        <v>#DIV/0!</v>
      </c>
      <c r="W517" s="98" t="str">
        <f t="shared" si="282"/>
        <v>1-48.9294203070731i</v>
      </c>
      <c r="X517" s="160">
        <f t="shared" si="292"/>
        <v>48.939638041021688</v>
      </c>
      <c r="Y517" s="160">
        <f t="shared" si="293"/>
        <v>-1.550361570021668</v>
      </c>
      <c r="Z517" s="98" t="str">
        <f t="shared" si="283"/>
        <v>-18.7312517773025+5.81024768656625i</v>
      </c>
      <c r="AA517" s="160">
        <f t="shared" si="294"/>
        <v>19.611699858093548</v>
      </c>
      <c r="AB517" s="160">
        <f t="shared" si="295"/>
        <v>2.8408136170332328</v>
      </c>
      <c r="AC517" s="171" t="e">
        <f t="shared" si="296"/>
        <v>#DIV/0!</v>
      </c>
      <c r="AD517" s="190" t="e">
        <f t="shared" si="297"/>
        <v>#DIV/0!</v>
      </c>
      <c r="AE517" s="169" t="e">
        <f t="shared" si="298"/>
        <v>#DIV/0!</v>
      </c>
      <c r="AF517" s="98" t="str">
        <f t="shared" si="284"/>
        <v>-0.0000182926829268293</v>
      </c>
      <c r="AG517" s="98" t="str">
        <f t="shared" si="285"/>
        <v>0.136434411824083i</v>
      </c>
      <c r="AH517" s="98">
        <f t="shared" si="299"/>
        <v>0.136434411824083</v>
      </c>
      <c r="AI517" s="98">
        <f t="shared" si="300"/>
        <v>1.5707963267948966</v>
      </c>
      <c r="AJ517" s="98" t="str">
        <f t="shared" si="286"/>
        <v>1+13.3746114914306i</v>
      </c>
      <c r="AK517" s="98">
        <f t="shared" si="301"/>
        <v>13.411943652830765</v>
      </c>
      <c r="AL517" s="98">
        <f t="shared" si="302"/>
        <v>1.4961666613317426</v>
      </c>
      <c r="AM517" s="98" t="str">
        <f t="shared" si="287"/>
        <v>1+1350.83576063448i</v>
      </c>
      <c r="AN517" s="98">
        <f t="shared" si="303"/>
        <v>1350.8361307756518</v>
      </c>
      <c r="AO517" s="98">
        <f t="shared" si="304"/>
        <v>1.5700560444848861</v>
      </c>
      <c r="AP517" s="168" t="str">
        <f t="shared" si="305"/>
        <v>-0.000996899134070652+0.0134672153672799i</v>
      </c>
      <c r="AQ517" s="98">
        <f t="shared" si="306"/>
        <v>-37.390711365664302</v>
      </c>
      <c r="AR517" s="169">
        <f t="shared" si="307"/>
        <v>94.233549805500147</v>
      </c>
      <c r="AS517" s="168" t="e">
        <f t="shared" si="308"/>
        <v>#DIV/0!</v>
      </c>
      <c r="AT517" s="190" t="e">
        <f t="shared" si="309"/>
        <v>#DIV/0!</v>
      </c>
      <c r="AU517" s="169" t="e">
        <f t="shared" si="310"/>
        <v>#DIV/0!</v>
      </c>
      <c r="AV517" s="225"/>
      <c r="AX517" t="e">
        <f t="shared" si="311"/>
        <v>#DIV/0!</v>
      </c>
      <c r="AY517" t="e">
        <f t="shared" si="312"/>
        <v>#DIV/0!</v>
      </c>
    </row>
    <row r="518" spans="14:51" x14ac:dyDescent="0.25">
      <c r="N518" s="170">
        <v>100</v>
      </c>
      <c r="O518" s="199">
        <f t="shared" si="313"/>
        <v>1000000</v>
      </c>
      <c r="P518" s="189" t="str">
        <f t="shared" si="279"/>
        <v>290</v>
      </c>
      <c r="Q518" s="160" t="e">
        <f t="shared" si="280"/>
        <v>#DIV/0!</v>
      </c>
      <c r="R518" s="160" t="e">
        <f t="shared" si="288"/>
        <v>#DIV/0!</v>
      </c>
      <c r="S518" s="160" t="e">
        <f t="shared" si="289"/>
        <v>#DIV/0!</v>
      </c>
      <c r="T518" s="160" t="e">
        <f t="shared" si="281"/>
        <v>#DIV/0!</v>
      </c>
      <c r="U518" s="160" t="e">
        <f t="shared" si="290"/>
        <v>#DIV/0!</v>
      </c>
      <c r="V518" s="160" t="e">
        <f t="shared" si="291"/>
        <v>#DIV/0!</v>
      </c>
      <c r="W518" s="98" t="str">
        <f t="shared" si="282"/>
        <v>1-50.0691329165875i</v>
      </c>
      <c r="X518" s="160">
        <f t="shared" si="292"/>
        <v>50.079118113430333</v>
      </c>
      <c r="Y518" s="160">
        <f t="shared" si="293"/>
        <v>-1.5508265967799479</v>
      </c>
      <c r="Z518" s="98" t="str">
        <f t="shared" si="283"/>
        <v>-19.6611570247934+5.9455857410787i</v>
      </c>
      <c r="AA518" s="160">
        <f t="shared" si="294"/>
        <v>20.540474321643625</v>
      </c>
      <c r="AB518" s="160">
        <f t="shared" si="295"/>
        <v>2.8479330647235384</v>
      </c>
      <c r="AC518" s="171" t="e">
        <f t="shared" si="296"/>
        <v>#DIV/0!</v>
      </c>
      <c r="AD518" s="190" t="e">
        <f t="shared" si="297"/>
        <v>#DIV/0!</v>
      </c>
      <c r="AE518" s="169" t="e">
        <f t="shared" si="298"/>
        <v>#DIV/0!</v>
      </c>
      <c r="AF518" s="98" t="str">
        <f t="shared" si="284"/>
        <v>-0.0000182926829268293</v>
      </c>
      <c r="AG518" s="98" t="str">
        <f t="shared" si="285"/>
        <v>0.13961237752553i</v>
      </c>
      <c r="AH518" s="98">
        <f t="shared" si="299"/>
        <v>0.13961237752552999</v>
      </c>
      <c r="AI518" s="98">
        <f t="shared" si="300"/>
        <v>1.5707963267948966</v>
      </c>
      <c r="AJ518" s="98" t="str">
        <f t="shared" si="286"/>
        <v>1+13.6861462136585i</v>
      </c>
      <c r="AK518" s="98">
        <f t="shared" si="301"/>
        <v>13.722630876826749</v>
      </c>
      <c r="AL518" s="98">
        <f t="shared" si="302"/>
        <v>1.4978593518594736</v>
      </c>
      <c r="AM518" s="98" t="str">
        <f t="shared" si="287"/>
        <v>1+1382.30076757951i</v>
      </c>
      <c r="AN518" s="98">
        <f t="shared" si="303"/>
        <v>1382.3011292952424</v>
      </c>
      <c r="AO518" s="98">
        <f t="shared" si="304"/>
        <v>1.5700728953615914</v>
      </c>
      <c r="AP518" s="168" t="str">
        <f t="shared" si="305"/>
        <v>-0.000952269547193908+0.0131639250511493i</v>
      </c>
      <c r="AQ518" s="98">
        <f t="shared" si="306"/>
        <v>-37.589624698710161</v>
      </c>
      <c r="AR518" s="169">
        <f t="shared" si="307"/>
        <v>94.137531266355722</v>
      </c>
      <c r="AS518" s="168" t="e">
        <f t="shared" si="308"/>
        <v>#DIV/0!</v>
      </c>
      <c r="AT518" s="190" t="e">
        <f t="shared" si="309"/>
        <v>#DIV/0!</v>
      </c>
      <c r="AU518" s="169" t="e">
        <f t="shared" si="310"/>
        <v>#DIV/0!</v>
      </c>
      <c r="AV518" s="225"/>
      <c r="AX518" t="e">
        <f t="shared" si="311"/>
        <v>#DIV/0!</v>
      </c>
      <c r="AY518" t="e">
        <f t="shared" si="312"/>
        <v>#DIV/0!</v>
      </c>
    </row>
    <row r="519" spans="14:51" x14ac:dyDescent="0.25">
      <c r="N519" s="170">
        <v>1</v>
      </c>
      <c r="O519" s="199">
        <f>10^(6+(N519/100))</f>
        <v>1023292.9922807553</v>
      </c>
      <c r="P519" s="189" t="str">
        <f t="shared" si="279"/>
        <v>290</v>
      </c>
      <c r="Q519" s="160" t="e">
        <f t="shared" si="280"/>
        <v>#DIV/0!</v>
      </c>
      <c r="R519" s="160" t="e">
        <f t="shared" si="288"/>
        <v>#DIV/0!</v>
      </c>
      <c r="S519" s="160" t="e">
        <f t="shared" si="289"/>
        <v>#DIV/0!</v>
      </c>
      <c r="T519" s="160" t="e">
        <f t="shared" si="281"/>
        <v>#DIV/0!</v>
      </c>
      <c r="U519" s="160" t="e">
        <f t="shared" si="290"/>
        <v>#DIV/0!</v>
      </c>
      <c r="V519" s="160" t="e">
        <f t="shared" si="291"/>
        <v>#DIV/0!</v>
      </c>
      <c r="W519" s="98" t="str">
        <f t="shared" si="282"/>
        <v>1-51.2353928431177i</v>
      </c>
      <c r="X519" s="160">
        <f t="shared" si="292"/>
        <v>51.245150792914991</v>
      </c>
      <c r="Y519" s="160">
        <f t="shared" si="293"/>
        <v>-1.5512810465838573</v>
      </c>
      <c r="Z519" s="98" t="str">
        <f t="shared" si="283"/>
        <v>-20.6348873564236+6.08407622385021i</v>
      </c>
      <c r="AA519" s="160">
        <f t="shared" si="294"/>
        <v>21.513125289225414</v>
      </c>
      <c r="AB519" s="160">
        <f t="shared" si="295"/>
        <v>2.8548726652234797</v>
      </c>
      <c r="AC519" s="171" t="e">
        <f t="shared" si="296"/>
        <v>#DIV/0!</v>
      </c>
      <c r="AD519" s="190" t="e">
        <f t="shared" si="297"/>
        <v>#DIV/0!</v>
      </c>
      <c r="AE519" s="169" t="e">
        <f t="shared" si="298"/>
        <v>#DIV/0!</v>
      </c>
      <c r="AF519" s="98" t="str">
        <f t="shared" si="284"/>
        <v>-0.0000182926829268293</v>
      </c>
      <c r="AG519" s="98" t="str">
        <f t="shared" si="285"/>
        <v>0.142864367557531i</v>
      </c>
      <c r="AH519" s="98">
        <f t="shared" si="299"/>
        <v>0.14286436755753101</v>
      </c>
      <c r="AI519" s="98">
        <f t="shared" si="300"/>
        <v>1.5707963267948966</v>
      </c>
      <c r="AJ519" s="98" t="str">
        <f t="shared" si="286"/>
        <v>1+14.0049375117666i</v>
      </c>
      <c r="AK519" s="98">
        <f t="shared" si="301"/>
        <v>14.040593816092226</v>
      </c>
      <c r="AL519" s="98">
        <f t="shared" si="302"/>
        <v>1.4995139167296769</v>
      </c>
      <c r="AM519" s="98" t="str">
        <f t="shared" si="287"/>
        <v>1+1414.49868868842i</v>
      </c>
      <c r="AN519" s="98">
        <f t="shared" si="303"/>
        <v>1414.4990421704993</v>
      </c>
      <c r="AO519" s="98">
        <f t="shared" si="304"/>
        <v>1.5700893626659105</v>
      </c>
      <c r="AP519" s="168" t="str">
        <f t="shared" si="305"/>
        <v>-0.000909627764204638+0.0128673223016707i</v>
      </c>
      <c r="AQ519" s="98">
        <f t="shared" si="306"/>
        <v>-37.788586685895311</v>
      </c>
      <c r="AR519" s="169">
        <f t="shared" si="307"/>
        <v>94.043675189399906</v>
      </c>
      <c r="AS519" s="168" t="e">
        <f t="shared" si="308"/>
        <v>#DIV/0!</v>
      </c>
      <c r="AT519" s="190" t="e">
        <f t="shared" si="309"/>
        <v>#DIV/0!</v>
      </c>
      <c r="AU519" s="169" t="e">
        <f t="shared" si="310"/>
        <v>#DIV/0!</v>
      </c>
      <c r="AV519" s="225"/>
      <c r="AX519" t="e">
        <f t="shared" si="311"/>
        <v>#DIV/0!</v>
      </c>
      <c r="AY519" t="e">
        <f t="shared" si="312"/>
        <v>#DIV/0!</v>
      </c>
    </row>
    <row r="520" spans="14:51" x14ac:dyDescent="0.25">
      <c r="N520" s="170">
        <v>2</v>
      </c>
      <c r="O520" s="199">
        <f t="shared" ref="O520:O560" si="314">10^(6+(N520/100))</f>
        <v>1047128.5480509007</v>
      </c>
      <c r="P520" s="189" t="str">
        <f t="shared" si="279"/>
        <v>290</v>
      </c>
      <c r="Q520" s="160" t="e">
        <f t="shared" si="280"/>
        <v>#DIV/0!</v>
      </c>
      <c r="R520" s="160" t="e">
        <f t="shared" si="288"/>
        <v>#DIV/0!</v>
      </c>
      <c r="S520" s="160" t="e">
        <f t="shared" si="289"/>
        <v>#DIV/0!</v>
      </c>
      <c r="T520" s="160" t="e">
        <f t="shared" si="281"/>
        <v>#DIV/0!</v>
      </c>
      <c r="U520" s="160" t="e">
        <f t="shared" si="290"/>
        <v>#DIV/0!</v>
      </c>
      <c r="V520" s="160" t="e">
        <f t="shared" si="291"/>
        <v>#DIV/0!</v>
      </c>
      <c r="W520" s="98" t="str">
        <f t="shared" si="282"/>
        <v>1-52.4288184531138i</v>
      </c>
      <c r="X520" s="160">
        <f t="shared" si="292"/>
        <v>52.438354325718173</v>
      </c>
      <c r="Y520" s="160">
        <f t="shared" si="293"/>
        <v>-1.5517251596374264</v>
      </c>
      <c r="Z520" s="98" t="str">
        <f t="shared" si="283"/>
        <v>-21.6545081847766+6.22579256436787i</v>
      </c>
      <c r="AA520" s="160">
        <f t="shared" si="294"/>
        <v>22.531715819686148</v>
      </c>
      <c r="AB520" s="160">
        <f t="shared" si="295"/>
        <v>2.8616376502500032</v>
      </c>
      <c r="AC520" s="171" t="e">
        <f t="shared" si="296"/>
        <v>#DIV/0!</v>
      </c>
      <c r="AD520" s="190" t="e">
        <f t="shared" si="297"/>
        <v>#DIV/0!</v>
      </c>
      <c r="AE520" s="169" t="e">
        <f t="shared" si="298"/>
        <v>#DIV/0!</v>
      </c>
      <c r="AF520" s="98" t="str">
        <f t="shared" si="284"/>
        <v>-0.0000182926829268293</v>
      </c>
      <c r="AG520" s="98" t="str">
        <f t="shared" si="285"/>
        <v>0.146192106168243i</v>
      </c>
      <c r="AH520" s="98">
        <f t="shared" si="299"/>
        <v>0.14619210616824299</v>
      </c>
      <c r="AI520" s="98">
        <f t="shared" si="300"/>
        <v>1.5707963267948966</v>
      </c>
      <c r="AJ520" s="98" t="str">
        <f t="shared" si="286"/>
        <v>1+14.3311544131206i</v>
      </c>
      <c r="AK520" s="98">
        <f t="shared" si="301"/>
        <v>14.366001072417687</v>
      </c>
      <c r="AL520" s="98">
        <f t="shared" si="302"/>
        <v>1.5011311969581302</v>
      </c>
      <c r="AM520" s="98" t="str">
        <f t="shared" si="287"/>
        <v>1+1447.44659572518i</v>
      </c>
      <c r="AN520" s="98">
        <f t="shared" si="303"/>
        <v>1447.4469411610269</v>
      </c>
      <c r="AO520" s="98">
        <f t="shared" si="304"/>
        <v>1.5701054551289906</v>
      </c>
      <c r="AP520" s="168" t="str">
        <f t="shared" si="305"/>
        <v>-0.000868886140848036+0.012577269158233i</v>
      </c>
      <c r="AQ520" s="98">
        <f t="shared" si="306"/>
        <v>-37.98759515965461</v>
      </c>
      <c r="AR520" s="169">
        <f t="shared" si="307"/>
        <v>93.951933888236027</v>
      </c>
      <c r="AS520" s="168" t="e">
        <f t="shared" si="308"/>
        <v>#DIV/0!</v>
      </c>
      <c r="AT520" s="190" t="e">
        <f t="shared" si="309"/>
        <v>#DIV/0!</v>
      </c>
      <c r="AU520" s="169" t="e">
        <f t="shared" si="310"/>
        <v>#DIV/0!</v>
      </c>
      <c r="AV520" s="225"/>
      <c r="AX520" t="e">
        <f t="shared" si="311"/>
        <v>#DIV/0!</v>
      </c>
      <c r="AY520" t="e">
        <f t="shared" si="312"/>
        <v>#DIV/0!</v>
      </c>
    </row>
    <row r="521" spans="14:51" x14ac:dyDescent="0.25">
      <c r="N521" s="170">
        <v>3</v>
      </c>
      <c r="O521" s="199">
        <f t="shared" si="314"/>
        <v>1071519.3052376076</v>
      </c>
      <c r="P521" s="189" t="str">
        <f t="shared" si="279"/>
        <v>290</v>
      </c>
      <c r="Q521" s="160" t="e">
        <f t="shared" si="280"/>
        <v>#DIV/0!</v>
      </c>
      <c r="R521" s="160" t="e">
        <f t="shared" si="288"/>
        <v>#DIV/0!</v>
      </c>
      <c r="S521" s="160" t="e">
        <f t="shared" si="289"/>
        <v>#DIV/0!</v>
      </c>
      <c r="T521" s="160" t="e">
        <f t="shared" si="281"/>
        <v>#DIV/0!</v>
      </c>
      <c r="U521" s="160" t="e">
        <f t="shared" si="290"/>
        <v>#DIV/0!</v>
      </c>
      <c r="V521" s="160" t="e">
        <f t="shared" si="291"/>
        <v>#DIV/0!</v>
      </c>
      <c r="W521" s="98" t="str">
        <f t="shared" si="282"/>
        <v>1-53.6500425166312i</v>
      </c>
      <c r="X521" s="160">
        <f t="shared" si="292"/>
        <v>53.659361364409989</v>
      </c>
      <c r="Y521" s="160">
        <f t="shared" si="293"/>
        <v>-1.5521591707141107</v>
      </c>
      <c r="Z521" s="98" t="str">
        <f t="shared" si="283"/>
        <v>-22.7221822623323+6.37080990251126i</v>
      </c>
      <c r="AA521" s="160">
        <f t="shared" si="294"/>
        <v>23.598406420277282</v>
      </c>
      <c r="AB521" s="160">
        <f t="shared" si="295"/>
        <v>2.8682330623314094</v>
      </c>
      <c r="AC521" s="171" t="e">
        <f t="shared" si="296"/>
        <v>#DIV/0!</v>
      </c>
      <c r="AD521" s="190" t="e">
        <f t="shared" si="297"/>
        <v>#DIV/0!</v>
      </c>
      <c r="AE521" s="169" t="e">
        <f t="shared" si="298"/>
        <v>#DIV/0!</v>
      </c>
      <c r="AF521" s="98" t="str">
        <f t="shared" si="284"/>
        <v>-0.0000182926829268293</v>
      </c>
      <c r="AG521" s="98" t="str">
        <f t="shared" si="285"/>
        <v>0.149597357768727i</v>
      </c>
      <c r="AH521" s="98">
        <f t="shared" si="299"/>
        <v>0.14959735776872701</v>
      </c>
      <c r="AI521" s="98">
        <f t="shared" si="300"/>
        <v>1.5707963267948966</v>
      </c>
      <c r="AJ521" s="98" t="str">
        <f t="shared" si="286"/>
        <v>1+14.6649698822397i</v>
      </c>
      <c r="AK521" s="98">
        <f t="shared" si="301"/>
        <v>14.699025193767017</v>
      </c>
      <c r="AL521" s="98">
        <f t="shared" si="302"/>
        <v>1.5027120161880145</v>
      </c>
      <c r="AM521" s="98" t="str">
        <f t="shared" si="287"/>
        <v>1+1481.1619581062i</v>
      </c>
      <c r="AN521" s="98">
        <f t="shared" si="303"/>
        <v>1481.1622956789686</v>
      </c>
      <c r="AO521" s="98">
        <f t="shared" si="304"/>
        <v>1.570121181283235</v>
      </c>
      <c r="AP521" s="168" t="str">
        <f t="shared" si="305"/>
        <v>-0.000829960818975285+0.0122936298656997i</v>
      </c>
      <c r="AQ521" s="98">
        <f t="shared" si="306"/>
        <v>-38.18664804803818</v>
      </c>
      <c r="AR521" s="169">
        <f t="shared" si="307"/>
        <v>93.862260660456684</v>
      </c>
      <c r="AS521" s="168" t="e">
        <f t="shared" si="308"/>
        <v>#DIV/0!</v>
      </c>
      <c r="AT521" s="190" t="e">
        <f t="shared" si="309"/>
        <v>#DIV/0!</v>
      </c>
      <c r="AU521" s="169" t="e">
        <f t="shared" si="310"/>
        <v>#DIV/0!</v>
      </c>
      <c r="AV521" s="225"/>
      <c r="AX521" t="e">
        <f t="shared" si="311"/>
        <v>#DIV/0!</v>
      </c>
      <c r="AY521" t="e">
        <f t="shared" si="312"/>
        <v>#DIV/0!</v>
      </c>
    </row>
    <row r="522" spans="14:51" x14ac:dyDescent="0.25">
      <c r="N522" s="170">
        <v>4</v>
      </c>
      <c r="O522" s="199">
        <f t="shared" si="314"/>
        <v>1096478.196143186</v>
      </c>
      <c r="P522" s="189" t="str">
        <f t="shared" si="279"/>
        <v>290</v>
      </c>
      <c r="Q522" s="160" t="e">
        <f t="shared" si="280"/>
        <v>#DIV/0!</v>
      </c>
      <c r="R522" s="160" t="e">
        <f t="shared" si="288"/>
        <v>#DIV/0!</v>
      </c>
      <c r="S522" s="160" t="e">
        <f t="shared" si="289"/>
        <v>#DIV/0!</v>
      </c>
      <c r="T522" s="160" t="e">
        <f t="shared" si="281"/>
        <v>#DIV/0!</v>
      </c>
      <c r="U522" s="160" t="e">
        <f t="shared" si="290"/>
        <v>#DIV/0!</v>
      </c>
      <c r="V522" s="160" t="e">
        <f t="shared" si="291"/>
        <v>#DIV/0!</v>
      </c>
      <c r="W522" s="98" t="str">
        <f t="shared" si="282"/>
        <v>1-54.8997125428332i</v>
      </c>
      <c r="X522" s="160">
        <f t="shared" si="292"/>
        <v>54.908819303329743</v>
      </c>
      <c r="Y522" s="160">
        <f t="shared" si="293"/>
        <v>-1.5525833092779304</v>
      </c>
      <c r="Z522" s="98" t="str">
        <f t="shared" si="283"/>
        <v>-23.8401742689549+6.51920512839261i</v>
      </c>
      <c r="AA522" s="160">
        <f t="shared" si="294"/>
        <v>24.715459629151141</v>
      </c>
      <c r="AB522" s="160">
        <f t="shared" si="295"/>
        <v>2.8746637630873515</v>
      </c>
      <c r="AC522" s="171" t="e">
        <f t="shared" si="296"/>
        <v>#DIV/0!</v>
      </c>
      <c r="AD522" s="190" t="e">
        <f t="shared" si="297"/>
        <v>#DIV/0!</v>
      </c>
      <c r="AE522" s="169" t="e">
        <f t="shared" si="298"/>
        <v>#DIV/0!</v>
      </c>
      <c r="AF522" s="98" t="str">
        <f t="shared" si="284"/>
        <v>-0.0000182926829268293</v>
      </c>
      <c r="AG522" s="98" t="str">
        <f t="shared" si="285"/>
        <v>0.153081927868455i</v>
      </c>
      <c r="AH522" s="98">
        <f t="shared" si="299"/>
        <v>0.15308192786845501</v>
      </c>
      <c r="AI522" s="98">
        <f t="shared" si="300"/>
        <v>1.5707963267948966</v>
      </c>
      <c r="AJ522" s="98" t="str">
        <f t="shared" si="286"/>
        <v>1+15.0065609125042i</v>
      </c>
      <c r="AK522" s="98">
        <f t="shared" si="301"/>
        <v>15.03984276582368</v>
      </c>
      <c r="AL522" s="98">
        <f t="shared" si="302"/>
        <v>1.5042571809692449</v>
      </c>
      <c r="AM522" s="98" t="str">
        <f t="shared" si="287"/>
        <v>1+1515.66265216292i</v>
      </c>
      <c r="AN522" s="98">
        <f t="shared" si="303"/>
        <v>1515.6629820515961</v>
      </c>
      <c r="AO522" s="98">
        <f t="shared" si="304"/>
        <v>1.5701365494668276</v>
      </c>
      <c r="AP522" s="168" t="str">
        <f t="shared" si="305"/>
        <v>-0.000792771569866216+0.0120162708847398i</v>
      </c>
      <c r="AQ522" s="98">
        <f t="shared" si="306"/>
        <v>-38.385743370575909</v>
      </c>
      <c r="AR522" s="169">
        <f t="shared" si="307"/>
        <v>93.774609771898611</v>
      </c>
      <c r="AS522" s="168" t="e">
        <f t="shared" si="308"/>
        <v>#DIV/0!</v>
      </c>
      <c r="AT522" s="190" t="e">
        <f t="shared" si="309"/>
        <v>#DIV/0!</v>
      </c>
      <c r="AU522" s="169" t="e">
        <f t="shared" si="310"/>
        <v>#DIV/0!</v>
      </c>
      <c r="AV522" s="225"/>
      <c r="AX522" t="e">
        <f t="shared" si="311"/>
        <v>#DIV/0!</v>
      </c>
      <c r="AY522" t="e">
        <f t="shared" si="312"/>
        <v>#DIV/0!</v>
      </c>
    </row>
    <row r="523" spans="14:51" x14ac:dyDescent="0.25">
      <c r="N523" s="170">
        <v>5</v>
      </c>
      <c r="O523" s="199">
        <f t="shared" si="314"/>
        <v>1122018.4543019643</v>
      </c>
      <c r="P523" s="189" t="str">
        <f t="shared" si="279"/>
        <v>290</v>
      </c>
      <c r="Q523" s="160" t="e">
        <f t="shared" si="280"/>
        <v>#DIV/0!</v>
      </c>
      <c r="R523" s="160" t="e">
        <f t="shared" si="288"/>
        <v>#DIV/0!</v>
      </c>
      <c r="S523" s="160" t="e">
        <f t="shared" si="289"/>
        <v>#DIV/0!</v>
      </c>
      <c r="T523" s="160" t="e">
        <f t="shared" si="281"/>
        <v>#DIV/0!</v>
      </c>
      <c r="U523" s="160" t="e">
        <f t="shared" si="290"/>
        <v>#DIV/0!</v>
      </c>
      <c r="V523" s="160" t="e">
        <f t="shared" si="291"/>
        <v>#DIV/0!</v>
      </c>
      <c r="W523" s="98" t="str">
        <f t="shared" si="282"/>
        <v>1-56.1784911233091i</v>
      </c>
      <c r="X523" s="160">
        <f t="shared" si="292"/>
        <v>56.187390621844322</v>
      </c>
      <c r="Y523" s="160">
        <f t="shared" si="293"/>
        <v>-1.5529977996020183</v>
      </c>
      <c r="Z523" s="98" t="str">
        <f t="shared" si="283"/>
        <v>-25.010855615582+6.67105692312491i</v>
      </c>
      <c r="AA523" s="160">
        <f t="shared" si="294"/>
        <v>25.885244814277158</v>
      </c>
      <c r="AB523" s="160">
        <f t="shared" si="295"/>
        <v>2.8809344411418731</v>
      </c>
      <c r="AC523" s="171" t="e">
        <f t="shared" si="296"/>
        <v>#DIV/0!</v>
      </c>
      <c r="AD523" s="190" t="e">
        <f t="shared" si="297"/>
        <v>#DIV/0!</v>
      </c>
      <c r="AE523" s="169" t="e">
        <f t="shared" si="298"/>
        <v>#DIV/0!</v>
      </c>
      <c r="AF523" s="98" t="str">
        <f t="shared" si="284"/>
        <v>-0.0000182926829268293</v>
      </c>
      <c r="AG523" s="98" t="str">
        <f t="shared" si="285"/>
        <v>0.156647664032618i</v>
      </c>
      <c r="AH523" s="98">
        <f t="shared" si="299"/>
        <v>0.15664766403261801</v>
      </c>
      <c r="AI523" s="98">
        <f t="shared" si="300"/>
        <v>1.5707963267948966</v>
      </c>
      <c r="AJ523" s="98" t="str">
        <f t="shared" si="286"/>
        <v>1+15.3561086199998i</v>
      </c>
      <c r="AK523" s="98">
        <f t="shared" si="301"/>
        <v>15.38863450567438</v>
      </c>
      <c r="AL523" s="98">
        <f t="shared" si="302"/>
        <v>1.5057674810389676</v>
      </c>
      <c r="AM523" s="98" t="str">
        <f t="shared" si="287"/>
        <v>1+1550.96697061998i</v>
      </c>
      <c r="AN523" s="98">
        <f t="shared" si="303"/>
        <v>1550.9672929994747</v>
      </c>
      <c r="AO523" s="98">
        <f t="shared" si="304"/>
        <v>1.5701515678281541</v>
      </c>
      <c r="AP523" s="168" t="str">
        <f t="shared" si="305"/>
        <v>-0.000757241643424209+0.0117450608980807i</v>
      </c>
      <c r="AQ523" s="98">
        <f t="shared" si="306"/>
        <v>-38.584879234315281</v>
      </c>
      <c r="AR523" s="169">
        <f t="shared" si="307"/>
        <v>93.688936440824392</v>
      </c>
      <c r="AS523" s="168" t="e">
        <f t="shared" si="308"/>
        <v>#DIV/0!</v>
      </c>
      <c r="AT523" s="190" t="e">
        <f t="shared" si="309"/>
        <v>#DIV/0!</v>
      </c>
      <c r="AU523" s="169" t="e">
        <f t="shared" si="310"/>
        <v>#DIV/0!</v>
      </c>
      <c r="AV523" s="225"/>
      <c r="AX523" t="e">
        <f t="shared" si="311"/>
        <v>#DIV/0!</v>
      </c>
      <c r="AY523" t="e">
        <f t="shared" si="312"/>
        <v>#DIV/0!</v>
      </c>
    </row>
    <row r="524" spans="14:51" x14ac:dyDescent="0.25">
      <c r="N524" s="170">
        <v>6</v>
      </c>
      <c r="O524" s="199">
        <f t="shared" si="314"/>
        <v>1148153.6214968837</v>
      </c>
      <c r="P524" s="189" t="str">
        <f t="shared" si="279"/>
        <v>290</v>
      </c>
      <c r="Q524" s="160" t="e">
        <f t="shared" si="280"/>
        <v>#DIV/0!</v>
      </c>
      <c r="R524" s="160" t="e">
        <f t="shared" si="288"/>
        <v>#DIV/0!</v>
      </c>
      <c r="S524" s="160" t="e">
        <f t="shared" si="289"/>
        <v>#DIV/0!</v>
      </c>
      <c r="T524" s="160" t="e">
        <f t="shared" si="281"/>
        <v>#DIV/0!</v>
      </c>
      <c r="U524" s="160" t="e">
        <f t="shared" si="290"/>
        <v>#DIV/0!</v>
      </c>
      <c r="V524" s="160" t="e">
        <f t="shared" si="291"/>
        <v>#DIV/0!</v>
      </c>
      <c r="W524" s="98" t="str">
        <f t="shared" si="282"/>
        <v>1-57.4870562833887i</v>
      </c>
      <c r="X524" s="160">
        <f t="shared" si="292"/>
        <v>57.49575323560429</v>
      </c>
      <c r="Y524" s="160">
        <f t="shared" si="293"/>
        <v>-1.5534028608846207</v>
      </c>
      <c r="Z524" s="98" t="str">
        <f t="shared" si="283"/>
        <v>-26.2367094743059+6.82644580053973i</v>
      </c>
      <c r="AA524" s="160">
        <f t="shared" si="294"/>
        <v>27.110243198961523</v>
      </c>
      <c r="AB524" s="160">
        <f t="shared" si="295"/>
        <v>2.8870496196788937</v>
      </c>
      <c r="AC524" s="171" t="e">
        <f t="shared" si="296"/>
        <v>#DIV/0!</v>
      </c>
      <c r="AD524" s="190" t="e">
        <f t="shared" si="297"/>
        <v>#DIV/0!</v>
      </c>
      <c r="AE524" s="169" t="e">
        <f t="shared" si="298"/>
        <v>#DIV/0!</v>
      </c>
      <c r="AF524" s="98" t="str">
        <f t="shared" si="284"/>
        <v>-0.0000182926829268293</v>
      </c>
      <c r="AG524" s="98" t="str">
        <f t="shared" si="285"/>
        <v>0.160296456861728i</v>
      </c>
      <c r="AH524" s="98">
        <f t="shared" si="299"/>
        <v>0.160296456861728</v>
      </c>
      <c r="AI524" s="98">
        <f t="shared" si="300"/>
        <v>1.5707963267948966</v>
      </c>
      <c r="AJ524" s="98" t="str">
        <f t="shared" si="286"/>
        <v>1+15.7137983395479i</v>
      </c>
      <c r="AK524" s="98">
        <f t="shared" si="301"/>
        <v>15.745585357679733</v>
      </c>
      <c r="AL524" s="98">
        <f t="shared" si="302"/>
        <v>1.5072436896027208</v>
      </c>
      <c r="AM524" s="98" t="str">
        <f t="shared" si="287"/>
        <v>1+1587.09363229433i</v>
      </c>
      <c r="AN524" s="98">
        <f t="shared" si="303"/>
        <v>1587.0939473355729</v>
      </c>
      <c r="AO524" s="98">
        <f t="shared" si="304"/>
        <v>1.5701662443301212</v>
      </c>
      <c r="AP524" s="168" t="str">
        <f t="shared" si="305"/>
        <v>-0.000723297623079673+0.0114798708130153i</v>
      </c>
      <c r="AQ524" s="98">
        <f t="shared" si="306"/>
        <v>-38.78405383002297</v>
      </c>
      <c r="AR524" s="169">
        <f t="shared" si="307"/>
        <v>93.605196822060989</v>
      </c>
      <c r="AS524" s="168" t="e">
        <f t="shared" si="308"/>
        <v>#DIV/0!</v>
      </c>
      <c r="AT524" s="190" t="e">
        <f t="shared" si="309"/>
        <v>#DIV/0!</v>
      </c>
      <c r="AU524" s="169" t="e">
        <f t="shared" si="310"/>
        <v>#DIV/0!</v>
      </c>
      <c r="AV524" s="225"/>
      <c r="AX524" t="e">
        <f t="shared" si="311"/>
        <v>#DIV/0!</v>
      </c>
      <c r="AY524" t="e">
        <f t="shared" si="312"/>
        <v>#DIV/0!</v>
      </c>
    </row>
    <row r="525" spans="14:51" x14ac:dyDescent="0.25">
      <c r="N525" s="170">
        <v>7</v>
      </c>
      <c r="O525" s="199">
        <f t="shared" si="314"/>
        <v>1174897.5549395324</v>
      </c>
      <c r="P525" s="189" t="str">
        <f t="shared" si="279"/>
        <v>290</v>
      </c>
      <c r="Q525" s="160" t="e">
        <f t="shared" si="280"/>
        <v>#DIV/0!</v>
      </c>
      <c r="R525" s="160" t="e">
        <f t="shared" si="288"/>
        <v>#DIV/0!</v>
      </c>
      <c r="S525" s="160" t="e">
        <f t="shared" si="289"/>
        <v>#DIV/0!</v>
      </c>
      <c r="T525" s="160" t="e">
        <f t="shared" si="281"/>
        <v>#DIV/0!</v>
      </c>
      <c r="U525" s="160" t="e">
        <f t="shared" si="290"/>
        <v>#DIV/0!</v>
      </c>
      <c r="V525" s="160" t="e">
        <f t="shared" si="291"/>
        <v>#DIV/0!</v>
      </c>
      <c r="W525" s="98" t="str">
        <f t="shared" si="282"/>
        <v>1-58.8261018416411i</v>
      </c>
      <c r="X525" s="160">
        <f t="shared" si="292"/>
        <v>58.834600855985506</v>
      </c>
      <c r="Y525" s="160">
        <f t="shared" si="293"/>
        <v>-1.5537987073626038</v>
      </c>
      <c r="Z525" s="98" t="str">
        <f t="shared" si="283"/>
        <v>-27.5203360455143+6.9854541498767i</v>
      </c>
      <c r="AA525" s="160">
        <f t="shared" si="294"/>
        <v>28.393053124630033</v>
      </c>
      <c r="AB525" s="160">
        <f t="shared" si="295"/>
        <v>2.8930136636506312</v>
      </c>
      <c r="AC525" s="171" t="e">
        <f t="shared" si="296"/>
        <v>#DIV/0!</v>
      </c>
      <c r="AD525" s="190" t="e">
        <f t="shared" si="297"/>
        <v>#DIV/0!</v>
      </c>
      <c r="AE525" s="169" t="e">
        <f t="shared" si="298"/>
        <v>#DIV/0!</v>
      </c>
      <c r="AF525" s="98" t="str">
        <f t="shared" si="284"/>
        <v>-0.0000182926829268293</v>
      </c>
      <c r="AG525" s="98" t="str">
        <f t="shared" si="285"/>
        <v>0.164030240994041i</v>
      </c>
      <c r="AH525" s="98">
        <f t="shared" si="299"/>
        <v>0.16403024099404101</v>
      </c>
      <c r="AI525" s="98">
        <f t="shared" si="300"/>
        <v>1.5707963267948966</v>
      </c>
      <c r="AJ525" s="98" t="str">
        <f t="shared" si="286"/>
        <v>1+16.0798197229723i</v>
      </c>
      <c r="AK525" s="98">
        <f t="shared" si="301"/>
        <v>16.110884591582455</v>
      </c>
      <c r="AL525" s="98">
        <f t="shared" si="302"/>
        <v>1.5086865636157882</v>
      </c>
      <c r="AM525" s="98" t="str">
        <f t="shared" si="287"/>
        <v>1+1624.0617920202i</v>
      </c>
      <c r="AN525" s="98">
        <f t="shared" si="303"/>
        <v>1624.06209989023</v>
      </c>
      <c r="AO525" s="98">
        <f t="shared" si="304"/>
        <v>1.5701805867543792</v>
      </c>
      <c r="AP525" s="168" t="str">
        <f t="shared" si="305"/>
        <v>-0.000690869286236632+0.0112205737604673i</v>
      </c>
      <c r="AQ525" s="98">
        <f t="shared" si="306"/>
        <v>-38.983265428545941</v>
      </c>
      <c r="AR525" s="169">
        <f t="shared" si="307"/>
        <v>93.523347991121071</v>
      </c>
      <c r="AS525" s="168" t="e">
        <f t="shared" si="308"/>
        <v>#DIV/0!</v>
      </c>
      <c r="AT525" s="190" t="e">
        <f t="shared" si="309"/>
        <v>#DIV/0!</v>
      </c>
      <c r="AU525" s="169" t="e">
        <f t="shared" si="310"/>
        <v>#DIV/0!</v>
      </c>
      <c r="AV525" s="225"/>
      <c r="AX525" t="e">
        <f t="shared" si="311"/>
        <v>#DIV/0!</v>
      </c>
      <c r="AY525" t="e">
        <f t="shared" si="312"/>
        <v>#DIV/0!</v>
      </c>
    </row>
    <row r="526" spans="14:51" x14ac:dyDescent="0.25">
      <c r="N526" s="170">
        <v>8</v>
      </c>
      <c r="O526" s="199">
        <f t="shared" si="314"/>
        <v>1202264.4346174158</v>
      </c>
      <c r="P526" s="189" t="str">
        <f t="shared" si="279"/>
        <v>290</v>
      </c>
      <c r="Q526" s="160" t="e">
        <f t="shared" si="280"/>
        <v>#DIV/0!</v>
      </c>
      <c r="R526" s="160" t="e">
        <f t="shared" si="288"/>
        <v>#DIV/0!</v>
      </c>
      <c r="S526" s="160" t="e">
        <f t="shared" si="289"/>
        <v>#DIV/0!</v>
      </c>
      <c r="T526" s="160" t="e">
        <f t="shared" si="281"/>
        <v>#DIV/0!</v>
      </c>
      <c r="U526" s="160" t="e">
        <f t="shared" si="290"/>
        <v>#DIV/0!</v>
      </c>
      <c r="V526" s="160" t="e">
        <f t="shared" si="291"/>
        <v>#DIV/0!</v>
      </c>
      <c r="W526" s="98" t="str">
        <f t="shared" si="282"/>
        <v>1-60.1963377777453i</v>
      </c>
      <c r="X526" s="160">
        <f t="shared" si="292"/>
        <v>60.204643357903933</v>
      </c>
      <c r="Y526" s="160">
        <f t="shared" si="293"/>
        <v>-1.55418554842251</v>
      </c>
      <c r="Z526" s="98" t="str">
        <f t="shared" si="283"/>
        <v>-28.8644580732631+7.14816627946735i</v>
      </c>
      <c r="AA526" s="160">
        <f t="shared" si="294"/>
        <v>29.736395562039419</v>
      </c>
      <c r="AB526" s="160">
        <f t="shared" si="295"/>
        <v>2.8988307866502634</v>
      </c>
      <c r="AC526" s="171" t="e">
        <f t="shared" si="296"/>
        <v>#DIV/0!</v>
      </c>
      <c r="AD526" s="190" t="e">
        <f t="shared" si="297"/>
        <v>#DIV/0!</v>
      </c>
      <c r="AE526" s="169" t="e">
        <f t="shared" si="298"/>
        <v>#DIV/0!</v>
      </c>
      <c r="AF526" s="98" t="str">
        <f t="shared" si="284"/>
        <v>-0.0000182926829268293</v>
      </c>
      <c r="AG526" s="98" t="str">
        <f t="shared" si="285"/>
        <v>0.167850996131325i</v>
      </c>
      <c r="AH526" s="98">
        <f t="shared" si="299"/>
        <v>0.16785099613132501</v>
      </c>
      <c r="AI526" s="98">
        <f t="shared" si="300"/>
        <v>1.5707963267948966</v>
      </c>
      <c r="AJ526" s="98" t="str">
        <f t="shared" si="286"/>
        <v>1+16.4543668396554i</v>
      </c>
      <c r="AK526" s="98">
        <f t="shared" si="301"/>
        <v>16.484725902906341</v>
      </c>
      <c r="AL526" s="98">
        <f t="shared" si="302"/>
        <v>1.5100968440643281</v>
      </c>
      <c r="AM526" s="98" t="str">
        <f t="shared" si="287"/>
        <v>1+1661.8910508052i</v>
      </c>
      <c r="AN526" s="98">
        <f t="shared" si="303"/>
        <v>1661.891351667254</v>
      </c>
      <c r="AO526" s="98">
        <f t="shared" si="304"/>
        <v>1.5701946027054474</v>
      </c>
      <c r="AP526" s="168" t="str">
        <f t="shared" si="305"/>
        <v>-0.000659889470097166+0.0109670450909035i</v>
      </c>
      <c r="AQ526" s="98">
        <f t="shared" si="306"/>
        <v>-39.182512377324784</v>
      </c>
      <c r="AR526" s="169">
        <f t="shared" si="307"/>
        <v>93.443347928332003</v>
      </c>
      <c r="AS526" s="168" t="e">
        <f t="shared" si="308"/>
        <v>#DIV/0!</v>
      </c>
      <c r="AT526" s="190" t="e">
        <f t="shared" si="309"/>
        <v>#DIV/0!</v>
      </c>
      <c r="AU526" s="169" t="e">
        <f t="shared" si="310"/>
        <v>#DIV/0!</v>
      </c>
      <c r="AV526" s="225"/>
      <c r="AX526" t="e">
        <f t="shared" si="311"/>
        <v>#DIV/0!</v>
      </c>
      <c r="AY526" t="e">
        <f t="shared" si="312"/>
        <v>#DIV/0!</v>
      </c>
    </row>
    <row r="527" spans="14:51" x14ac:dyDescent="0.25">
      <c r="N527" s="170">
        <v>9</v>
      </c>
      <c r="O527" s="199">
        <f t="shared" si="314"/>
        <v>1230268.770812382</v>
      </c>
      <c r="P527" s="189" t="str">
        <f t="shared" si="279"/>
        <v>290</v>
      </c>
      <c r="Q527" s="160" t="e">
        <f t="shared" si="280"/>
        <v>#DIV/0!</v>
      </c>
      <c r="R527" s="160" t="e">
        <f t="shared" si="288"/>
        <v>#DIV/0!</v>
      </c>
      <c r="S527" s="160" t="e">
        <f t="shared" si="289"/>
        <v>#DIV/0!</v>
      </c>
      <c r="T527" s="160" t="e">
        <f t="shared" si="281"/>
        <v>#DIV/0!</v>
      </c>
      <c r="U527" s="160" t="e">
        <f t="shared" si="290"/>
        <v>#DIV/0!</v>
      </c>
      <c r="V527" s="160" t="e">
        <f t="shared" si="291"/>
        <v>#DIV/0!</v>
      </c>
      <c r="W527" s="98" t="str">
        <f t="shared" si="282"/>
        <v>1-61.5984906089319i</v>
      </c>
      <c r="X527" s="160">
        <f t="shared" si="292"/>
        <v>61.606607156202578</v>
      </c>
      <c r="Y527" s="160">
        <f t="shared" si="293"/>
        <v>-1.55456358870921</v>
      </c>
      <c r="Z527" s="98" t="str">
        <f t="shared" si="283"/>
        <v>-30.2719266205829+7.31466846143651i</v>
      </c>
      <c r="AA527" s="160">
        <f t="shared" si="294"/>
        <v>31.143119882611145</v>
      </c>
      <c r="AB527" s="160">
        <f t="shared" si="295"/>
        <v>2.9045050574607298</v>
      </c>
      <c r="AC527" s="171" t="e">
        <f t="shared" si="296"/>
        <v>#DIV/0!</v>
      </c>
      <c r="AD527" s="190" t="e">
        <f t="shared" si="297"/>
        <v>#DIV/0!</v>
      </c>
      <c r="AE527" s="169" t="e">
        <f t="shared" si="298"/>
        <v>#DIV/0!</v>
      </c>
      <c r="AF527" s="98" t="str">
        <f t="shared" si="284"/>
        <v>-0.0000182926829268293</v>
      </c>
      <c r="AG527" s="98" t="str">
        <f t="shared" si="285"/>
        <v>0.171760748088529i</v>
      </c>
      <c r="AH527" s="98">
        <f t="shared" si="299"/>
        <v>0.17176074808852901</v>
      </c>
      <c r="AI527" s="98">
        <f t="shared" si="300"/>
        <v>1.5707963267948966</v>
      </c>
      <c r="AJ527" s="98" t="str">
        <f t="shared" si="286"/>
        <v>1+16.8376382794362i</v>
      </c>
      <c r="AK527" s="98">
        <f t="shared" si="301"/>
        <v>16.867307515698386</v>
      </c>
      <c r="AL527" s="98">
        <f t="shared" si="302"/>
        <v>1.5114752562458811</v>
      </c>
      <c r="AM527" s="98" t="str">
        <f t="shared" si="287"/>
        <v>1+1700.60146622305i</v>
      </c>
      <c r="AN527" s="98">
        <f t="shared" si="303"/>
        <v>1700.6017602366487</v>
      </c>
      <c r="AO527" s="98">
        <f t="shared" si="304"/>
        <v>1.5702082996147471</v>
      </c>
      <c r="AP527" s="168" t="str">
        <f t="shared" si="305"/>
        <v>-0.000630293942698637+0.0107191623673607i</v>
      </c>
      <c r="AQ527" s="98">
        <f t="shared" si="306"/>
        <v>-39.38179309705405</v>
      </c>
      <c r="AR527" s="169">
        <f t="shared" si="307"/>
        <v>93.365155502994853</v>
      </c>
      <c r="AS527" s="168" t="e">
        <f t="shared" si="308"/>
        <v>#DIV/0!</v>
      </c>
      <c r="AT527" s="190" t="e">
        <f t="shared" si="309"/>
        <v>#DIV/0!</v>
      </c>
      <c r="AU527" s="169" t="e">
        <f t="shared" si="310"/>
        <v>#DIV/0!</v>
      </c>
      <c r="AV527" s="225"/>
      <c r="AX527" t="e">
        <f t="shared" si="311"/>
        <v>#DIV/0!</v>
      </c>
      <c r="AY527" t="e">
        <f t="shared" si="312"/>
        <v>#DIV/0!</v>
      </c>
    </row>
    <row r="528" spans="14:51" x14ac:dyDescent="0.25">
      <c r="N528" s="170">
        <v>10</v>
      </c>
      <c r="O528" s="199">
        <f t="shared" si="314"/>
        <v>1258925.4117941677</v>
      </c>
      <c r="P528" s="189" t="str">
        <f t="shared" si="279"/>
        <v>290</v>
      </c>
      <c r="Q528" s="160" t="e">
        <f t="shared" si="280"/>
        <v>#DIV/0!</v>
      </c>
      <c r="R528" s="160" t="e">
        <f t="shared" si="288"/>
        <v>#DIV/0!</v>
      </c>
      <c r="S528" s="160" t="e">
        <f t="shared" si="289"/>
        <v>#DIV/0!</v>
      </c>
      <c r="T528" s="160" t="e">
        <f t="shared" si="281"/>
        <v>#DIV/0!</v>
      </c>
      <c r="U528" s="160" t="e">
        <f t="shared" si="290"/>
        <v>#DIV/0!</v>
      </c>
      <c r="V528" s="160" t="e">
        <f t="shared" si="291"/>
        <v>#DIV/0!</v>
      </c>
      <c r="W528" s="98" t="str">
        <f t="shared" si="282"/>
        <v>1-63.0333037751918i</v>
      </c>
      <c r="X528" s="160">
        <f t="shared" si="292"/>
        <v>63.041235590806814</v>
      </c>
      <c r="Y528" s="160">
        <f t="shared" si="293"/>
        <v>-1.5549330282322005</v>
      </c>
      <c r="Z528" s="98" t="str">
        <f t="shared" si="283"/>
        <v>-31.7457271169652+7.48504897744502i</v>
      </c>
      <c r="AA528" s="160">
        <f t="shared" si="294"/>
        <v>32.616209902126428</v>
      </c>
      <c r="AB528" s="160">
        <f t="shared" si="295"/>
        <v>2.9100404062918646</v>
      </c>
      <c r="AC528" s="171" t="e">
        <f t="shared" si="296"/>
        <v>#DIV/0!</v>
      </c>
      <c r="AD528" s="190" t="e">
        <f t="shared" si="297"/>
        <v>#DIV/0!</v>
      </c>
      <c r="AE528" s="169" t="e">
        <f t="shared" si="298"/>
        <v>#DIV/0!</v>
      </c>
      <c r="AF528" s="98" t="str">
        <f t="shared" si="284"/>
        <v>-0.0000182926829268293</v>
      </c>
      <c r="AG528" s="98" t="str">
        <f t="shared" si="285"/>
        <v>0.175761569867891i</v>
      </c>
      <c r="AH528" s="98">
        <f t="shared" si="299"/>
        <v>0.17576156986789099</v>
      </c>
      <c r="AI528" s="98">
        <f t="shared" si="300"/>
        <v>1.5707963267948966</v>
      </c>
      <c r="AJ528" s="98" t="str">
        <f t="shared" si="286"/>
        <v>1+17.2298372579052i</v>
      </c>
      <c r="AK528" s="98">
        <f t="shared" si="301"/>
        <v>17.258832287669353</v>
      </c>
      <c r="AL528" s="98">
        <f t="shared" si="302"/>
        <v>1.5128225100489063</v>
      </c>
      <c r="AM528" s="98" t="str">
        <f t="shared" si="287"/>
        <v>1+1740.21356304842i</v>
      </c>
      <c r="AN528" s="98">
        <f t="shared" si="303"/>
        <v>1740.2138503694532</v>
      </c>
      <c r="AO528" s="98">
        <f t="shared" si="304"/>
        <v>1.5702216847445398</v>
      </c>
      <c r="AP528" s="168" t="str">
        <f t="shared" si="305"/>
        <v>-0.000602021278999763+0.0104768053558395i</v>
      </c>
      <c r="AQ528" s="98">
        <f t="shared" si="306"/>
        <v>-39.581106078482584</v>
      </c>
      <c r="AR528" s="169">
        <f t="shared" si="307"/>
        <v>93.2887304575939</v>
      </c>
      <c r="AS528" s="168" t="e">
        <f t="shared" si="308"/>
        <v>#DIV/0!</v>
      </c>
      <c r="AT528" s="190" t="e">
        <f t="shared" si="309"/>
        <v>#DIV/0!</v>
      </c>
      <c r="AU528" s="169" t="e">
        <f t="shared" si="310"/>
        <v>#DIV/0!</v>
      </c>
      <c r="AV528" s="225"/>
      <c r="AX528" t="e">
        <f t="shared" si="311"/>
        <v>#DIV/0!</v>
      </c>
      <c r="AY528" t="e">
        <f t="shared" si="312"/>
        <v>#DIV/0!</v>
      </c>
    </row>
    <row r="529" spans="14:51" x14ac:dyDescent="0.25">
      <c r="N529" s="170">
        <v>11</v>
      </c>
      <c r="O529" s="199">
        <f t="shared" si="314"/>
        <v>1288249.5516931366</v>
      </c>
      <c r="P529" s="189" t="str">
        <f t="shared" si="279"/>
        <v>290</v>
      </c>
      <c r="Q529" s="160" t="e">
        <f t="shared" si="280"/>
        <v>#DIV/0!</v>
      </c>
      <c r="R529" s="160" t="e">
        <f t="shared" si="288"/>
        <v>#DIV/0!</v>
      </c>
      <c r="S529" s="160" t="e">
        <f t="shared" si="289"/>
        <v>#DIV/0!</v>
      </c>
      <c r="T529" s="160" t="e">
        <f t="shared" si="281"/>
        <v>#DIV/0!</v>
      </c>
      <c r="U529" s="160" t="e">
        <f t="shared" si="290"/>
        <v>#DIV/0!</v>
      </c>
      <c r="V529" s="160" t="e">
        <f t="shared" si="291"/>
        <v>#DIV/0!</v>
      </c>
      <c r="W529" s="98" t="str">
        <f t="shared" si="282"/>
        <v>1-64.5015380334578i</v>
      </c>
      <c r="X529" s="160">
        <f t="shared" si="292"/>
        <v>64.509289320853654</v>
      </c>
      <c r="Y529" s="160">
        <f t="shared" si="293"/>
        <v>-1.5552940624695899</v>
      </c>
      <c r="Z529" s="98" t="str">
        <f t="shared" si="283"/>
        <v>-33.2889856908588+7.65939816549773i</v>
      </c>
      <c r="AA529" s="160">
        <f t="shared" si="294"/>
        <v>34.158790209605378</v>
      </c>
      <c r="AB529" s="160">
        <f t="shared" si="295"/>
        <v>2.9154406307183311</v>
      </c>
      <c r="AC529" s="171" t="e">
        <f t="shared" si="296"/>
        <v>#DIV/0!</v>
      </c>
      <c r="AD529" s="190" t="e">
        <f t="shared" si="297"/>
        <v>#DIV/0!</v>
      </c>
      <c r="AE529" s="169" t="e">
        <f t="shared" si="298"/>
        <v>#DIV/0!</v>
      </c>
      <c r="AF529" s="98" t="str">
        <f t="shared" si="284"/>
        <v>-0.0000182926829268293</v>
      </c>
      <c r="AG529" s="98" t="str">
        <f t="shared" si="285"/>
        <v>0.179855582758078i</v>
      </c>
      <c r="AH529" s="98">
        <f t="shared" si="299"/>
        <v>0.179855582758078</v>
      </c>
      <c r="AI529" s="98">
        <f t="shared" si="300"/>
        <v>1.5707963267948966</v>
      </c>
      <c r="AJ529" s="98" t="str">
        <f t="shared" si="286"/>
        <v>1+17.6311717241523i</v>
      </c>
      <c r="AK529" s="98">
        <f t="shared" si="301"/>
        <v>17.659507817788906</v>
      </c>
      <c r="AL529" s="98">
        <f t="shared" si="302"/>
        <v>1.5141393002310166</v>
      </c>
      <c r="AM529" s="98" t="str">
        <f t="shared" si="287"/>
        <v>1+1780.74834413938i</v>
      </c>
      <c r="AN529" s="98">
        <f t="shared" si="303"/>
        <v>1780.7486249201888</v>
      </c>
      <c r="AO529" s="98">
        <f t="shared" si="304"/>
        <v>1.5702347651917796</v>
      </c>
      <c r="AP529" s="168" t="str">
        <f t="shared" si="305"/>
        <v>-0.000575012741852765+0.0102398560132958i</v>
      </c>
      <c r="AQ529" s="98">
        <f t="shared" si="306"/>
        <v>-39.780449879351231</v>
      </c>
      <c r="AR529" s="169">
        <f t="shared" si="307"/>
        <v>93.214033392075692</v>
      </c>
      <c r="AS529" s="168" t="e">
        <f t="shared" si="308"/>
        <v>#DIV/0!</v>
      </c>
      <c r="AT529" s="190" t="e">
        <f t="shared" si="309"/>
        <v>#DIV/0!</v>
      </c>
      <c r="AU529" s="169" t="e">
        <f t="shared" si="310"/>
        <v>#DIV/0!</v>
      </c>
      <c r="AV529" s="225"/>
      <c r="AX529" t="e">
        <f t="shared" si="311"/>
        <v>#DIV/0!</v>
      </c>
      <c r="AY529" t="e">
        <f t="shared" si="312"/>
        <v>#DIV/0!</v>
      </c>
    </row>
    <row r="530" spans="14:51" x14ac:dyDescent="0.25">
      <c r="N530" s="170">
        <v>12</v>
      </c>
      <c r="O530" s="199">
        <f t="shared" si="314"/>
        <v>1318256.7385564097</v>
      </c>
      <c r="P530" s="189" t="str">
        <f t="shared" si="279"/>
        <v>290</v>
      </c>
      <c r="Q530" s="160" t="e">
        <f t="shared" si="280"/>
        <v>#DIV/0!</v>
      </c>
      <c r="R530" s="160" t="e">
        <f t="shared" si="288"/>
        <v>#DIV/0!</v>
      </c>
      <c r="S530" s="160" t="e">
        <f t="shared" si="289"/>
        <v>#DIV/0!</v>
      </c>
      <c r="T530" s="160" t="e">
        <f t="shared" si="281"/>
        <v>#DIV/0!</v>
      </c>
      <c r="U530" s="160" t="e">
        <f t="shared" si="290"/>
        <v>#DIV/0!</v>
      </c>
      <c r="V530" s="160" t="e">
        <f t="shared" si="291"/>
        <v>#DIV/0!</v>
      </c>
      <c r="W530" s="98" t="str">
        <f t="shared" si="282"/>
        <v>1-66.003971860968i</v>
      </c>
      <c r="X530" s="160">
        <f t="shared" si="292"/>
        <v>66.011546728003992</v>
      </c>
      <c r="Y530" s="160">
        <f t="shared" si="293"/>
        <v>-1.5556468824698197</v>
      </c>
      <c r="Z530" s="98" t="str">
        <f t="shared" si="283"/>
        <v>-34.9049758006071+7.8378084678419i</v>
      </c>
      <c r="AA530" s="160">
        <f t="shared" si="294"/>
        <v>35.7741327947938</v>
      </c>
      <c r="AB530" s="160">
        <f t="shared" si="295"/>
        <v>2.920709401330821</v>
      </c>
      <c r="AC530" s="171" t="e">
        <f t="shared" si="296"/>
        <v>#DIV/0!</v>
      </c>
      <c r="AD530" s="190" t="e">
        <f t="shared" si="297"/>
        <v>#DIV/0!</v>
      </c>
      <c r="AE530" s="169" t="e">
        <f t="shared" si="298"/>
        <v>#DIV/0!</v>
      </c>
      <c r="AF530" s="98" t="str">
        <f t="shared" si="284"/>
        <v>-0.0000182926829268293</v>
      </c>
      <c r="AG530" s="98" t="str">
        <f t="shared" si="285"/>
        <v>0.184044957458912i</v>
      </c>
      <c r="AH530" s="98">
        <f t="shared" si="299"/>
        <v>0.184044957458912</v>
      </c>
      <c r="AI530" s="98">
        <f t="shared" si="300"/>
        <v>1.5707963267948966</v>
      </c>
      <c r="AJ530" s="98" t="str">
        <f t="shared" si="286"/>
        <v>1+18.0418544710236i</v>
      </c>
      <c r="AK530" s="98">
        <f t="shared" si="301"/>
        <v>18.069546556391344</v>
      </c>
      <c r="AL530" s="98">
        <f t="shared" si="302"/>
        <v>1.5154263066956173</v>
      </c>
      <c r="AM530" s="98" t="str">
        <f t="shared" si="287"/>
        <v>1+1822.22730157338i</v>
      </c>
      <c r="AN530" s="98">
        <f t="shared" si="303"/>
        <v>1822.2275759628385</v>
      </c>
      <c r="AO530" s="98">
        <f t="shared" si="304"/>
        <v>1.5702475478918747</v>
      </c>
      <c r="AP530" s="168" t="str">
        <f t="shared" si="305"/>
        <v>-0.000549212167701032+0.0100081984734532i</v>
      </c>
      <c r="AQ530" s="98">
        <f t="shared" si="306"/>
        <v>-39.979823121458587</v>
      </c>
      <c r="AR530" s="169">
        <f t="shared" si="307"/>
        <v>93.141025748214275</v>
      </c>
      <c r="AS530" s="168" t="e">
        <f t="shared" si="308"/>
        <v>#DIV/0!</v>
      </c>
      <c r="AT530" s="190" t="e">
        <f t="shared" si="309"/>
        <v>#DIV/0!</v>
      </c>
      <c r="AU530" s="169" t="e">
        <f t="shared" si="310"/>
        <v>#DIV/0!</v>
      </c>
      <c r="AV530" s="225"/>
      <c r="AX530" t="e">
        <f t="shared" si="311"/>
        <v>#DIV/0!</v>
      </c>
      <c r="AY530" t="e">
        <f t="shared" si="312"/>
        <v>#DIV/0!</v>
      </c>
    </row>
    <row r="531" spans="14:51" x14ac:dyDescent="0.25">
      <c r="N531" s="170">
        <v>13</v>
      </c>
      <c r="O531" s="199">
        <f t="shared" si="314"/>
        <v>1348962.8825916562</v>
      </c>
      <c r="P531" s="189" t="str">
        <f t="shared" ref="P531:P560" si="315">COMPLEX(Adc,0)</f>
        <v>290</v>
      </c>
      <c r="Q531" s="160" t="e">
        <f t="shared" ref="Q531:Q560" si="316">IMSUM(COMPLEX(1,0),IMDIV(COMPLEX(0,2*PI()*O531),COMPLEX(wp_lf,0)))</f>
        <v>#DIV/0!</v>
      </c>
      <c r="R531" s="160" t="e">
        <f t="shared" si="288"/>
        <v>#DIV/0!</v>
      </c>
      <c r="S531" s="160" t="e">
        <f t="shared" si="289"/>
        <v>#DIV/0!</v>
      </c>
      <c r="T531" s="160" t="e">
        <f t="shared" ref="T531:T560" si="317">IMSUM(COMPLEX(1,0),IMDIV(COMPLEX(0,2*PI()*O531),COMPLEX(wz_esr,0)))</f>
        <v>#DIV/0!</v>
      </c>
      <c r="U531" s="160" t="e">
        <f t="shared" si="290"/>
        <v>#DIV/0!</v>
      </c>
      <c r="V531" s="160" t="e">
        <f t="shared" si="291"/>
        <v>#DIV/0!</v>
      </c>
      <c r="W531" s="98" t="str">
        <f t="shared" ref="W531:W560" si="318">IMSUB(COMPLEX(1,0),IMDIV(COMPLEX(0,2*PI()*O531),COMPLEX(wz_rhp,0)))</f>
        <v>1-67.5414018680246i</v>
      </c>
      <c r="X531" s="160">
        <f t="shared" si="292"/>
        <v>67.548804329151494</v>
      </c>
      <c r="Y531" s="160">
        <f t="shared" si="293"/>
        <v>-1.5559916749511644</v>
      </c>
      <c r="Z531" s="98" t="str">
        <f t="shared" ref="Z531:Z560" si="319">IF(Dc_Mode_Loop="CCM",IMSUM(COMPLEX(1,0),IMDIV(COMPLEX(0,2*PI()*O531),COMPLEX(Q*(wsl/2),0)),IMDIV(IMPOWER(COMPLEX(0,2*PI()*O531),2),IMPOWER(COMPLEX(wsl/2,0),2))),COMPLEX(1,0))</f>
        <v>-36.5971251778923+8.02037447998137i</v>
      </c>
      <c r="AA531" s="160">
        <f t="shared" si="294"/>
        <v>37.465663988316756</v>
      </c>
      <c r="AB531" s="160">
        <f t="shared" si="295"/>
        <v>2.9258502671129549</v>
      </c>
      <c r="AC531" s="171" t="e">
        <f t="shared" si="296"/>
        <v>#DIV/0!</v>
      </c>
      <c r="AD531" s="190" t="e">
        <f t="shared" si="297"/>
        <v>#DIV/0!</v>
      </c>
      <c r="AE531" s="169" t="e">
        <f t="shared" si="298"/>
        <v>#DIV/0!</v>
      </c>
      <c r="AF531" s="98" t="str">
        <f t="shared" ref="AF531:AF560" si="320">COMPLEX(Adc_ea,0)</f>
        <v>-0.0000182926829268293</v>
      </c>
      <c r="AG531" s="98" t="str">
        <f t="shared" ref="AG531:AG560" si="321">COMPLEX(0,2*PI()*O531*wp0_ea)</f>
        <v>0.188331915232314i</v>
      </c>
      <c r="AH531" s="98">
        <f t="shared" si="299"/>
        <v>0.18833191523231399</v>
      </c>
      <c r="AI531" s="98">
        <f t="shared" si="300"/>
        <v>1.5707963267948966</v>
      </c>
      <c r="AJ531" s="98" t="str">
        <f t="shared" ref="AJ531:AJ560" si="322">IMSUM(COMPLEX(1,0),IMDIV(COMPLEX(0,2*PI()*O531),COMPLEX(wp1_ea,0)))</f>
        <v>1+18.4621032479477i</v>
      </c>
      <c r="AK531" s="98">
        <f t="shared" si="301"/>
        <v>18.489165917852567</v>
      </c>
      <c r="AL531" s="98">
        <f t="shared" si="302"/>
        <v>1.5166841947666831</v>
      </c>
      <c r="AM531" s="98" t="str">
        <f t="shared" ref="AM531:AM560" si="323">IMSUM(COMPLEX(1,0),IMDIV(COMPLEX(0,2*PI()*O531),COMPLEX(wz_ea,0)))</f>
        <v>1+1864.67242804271i</v>
      </c>
      <c r="AN531" s="98">
        <f t="shared" si="303"/>
        <v>1864.6726961863028</v>
      </c>
      <c r="AO531" s="98">
        <f t="shared" si="304"/>
        <v>1.5702600396223654</v>
      </c>
      <c r="AP531" s="168" t="str">
        <f t="shared" si="305"/>
        <v>-0.000524565856843642+0.00978171903063622i</v>
      </c>
      <c r="AQ531" s="98">
        <f t="shared" si="306"/>
        <v>-40.179224487852913</v>
      </c>
      <c r="AR531" s="169">
        <f t="shared" si="307"/>
        <v>93.06966979407828</v>
      </c>
      <c r="AS531" s="168" t="e">
        <f t="shared" si="308"/>
        <v>#DIV/0!</v>
      </c>
      <c r="AT531" s="190" t="e">
        <f t="shared" si="309"/>
        <v>#DIV/0!</v>
      </c>
      <c r="AU531" s="169" t="e">
        <f t="shared" si="310"/>
        <v>#DIV/0!</v>
      </c>
      <c r="AV531" s="225"/>
      <c r="AX531" t="e">
        <f t="shared" si="311"/>
        <v>#DIV/0!</v>
      </c>
      <c r="AY531" t="e">
        <f t="shared" si="312"/>
        <v>#DIV/0!</v>
      </c>
    </row>
    <row r="532" spans="14:51" x14ac:dyDescent="0.25">
      <c r="N532" s="170">
        <v>14</v>
      </c>
      <c r="O532" s="199">
        <f t="shared" si="314"/>
        <v>1380384.2646028849</v>
      </c>
      <c r="P532" s="189" t="str">
        <f t="shared" si="315"/>
        <v>290</v>
      </c>
      <c r="Q532" s="160" t="e">
        <f t="shared" si="316"/>
        <v>#DIV/0!</v>
      </c>
      <c r="R532" s="160" t="e">
        <f t="shared" ref="R532:R560" si="324">IMABS(Q532)</f>
        <v>#DIV/0!</v>
      </c>
      <c r="S532" s="160" t="e">
        <f t="shared" ref="S532:S560" si="325">IMARGUMENT(Q532)</f>
        <v>#DIV/0!</v>
      </c>
      <c r="T532" s="160" t="e">
        <f t="shared" si="317"/>
        <v>#DIV/0!</v>
      </c>
      <c r="U532" s="160" t="e">
        <f t="shared" ref="U532:U560" si="326">IMABS(T532)</f>
        <v>#DIV/0!</v>
      </c>
      <c r="V532" s="160" t="e">
        <f t="shared" ref="V532:V560" si="327">IMARGUMENT(T532)</f>
        <v>#DIV/0!</v>
      </c>
      <c r="W532" s="98" t="str">
        <f t="shared" si="318"/>
        <v>1-69.1146432203677i</v>
      </c>
      <c r="X532" s="160">
        <f t="shared" ref="X532:X560" si="328">IMABS(W532)</f>
        <v>69.121877198747413</v>
      </c>
      <c r="Y532" s="160">
        <f t="shared" ref="Y532:Y560" si="329">IMARGUMENT(W532)</f>
        <v>-1.5563286223990569</v>
      </c>
      <c r="Z532" s="98" t="str">
        <f t="shared" si="319"/>
        <v>-38.3690230984142+8.20719300083232i</v>
      </c>
      <c r="AA532" s="160">
        <f t="shared" ref="AA532:AA560" si="330">IMABS(Z532)</f>
        <v>39.236971729219285</v>
      </c>
      <c r="AB532" s="160">
        <f t="shared" ref="AB532:AB560" si="331">IMARGUMENT(Z532)</f>
        <v>2.9308666605561702</v>
      </c>
      <c r="AC532" s="171" t="e">
        <f t="shared" ref="AC532:AC560" si="332">(IMDIV(IMPRODUCT(P532,T532,W532),IMPRODUCT(Q532,Z532)))</f>
        <v>#DIV/0!</v>
      </c>
      <c r="AD532" s="190" t="e">
        <f t="shared" ref="AD532:AD560" si="333">20*LOG(IMABS(AC532))</f>
        <v>#DIV/0!</v>
      </c>
      <c r="AE532" s="169" t="e">
        <f t="shared" ref="AE532:AE560" si="334">(180/PI())*IMARGUMENT(AC532)</f>
        <v>#DIV/0!</v>
      </c>
      <c r="AF532" s="98" t="str">
        <f t="shared" si="320"/>
        <v>-0.0000182926829268293</v>
      </c>
      <c r="AG532" s="98" t="str">
        <f t="shared" si="321"/>
        <v>0.19271872908004i</v>
      </c>
      <c r="AH532" s="98">
        <f t="shared" ref="AH532:AH560" si="335">IMABS(AG532)</f>
        <v>0.19271872908004001</v>
      </c>
      <c r="AI532" s="98">
        <f t="shared" ref="AI532:AI560" si="336">IMARGUMENT(AG532)</f>
        <v>1.5707963267948966</v>
      </c>
      <c r="AJ532" s="98" t="str">
        <f t="shared" si="322"/>
        <v>1+18.8921408763885i</v>
      </c>
      <c r="AK532" s="98">
        <f t="shared" ref="AK532:AK560" si="337">IMABS(AJ532)</f>
        <v>18.91858839589543</v>
      </c>
      <c r="AL532" s="98">
        <f t="shared" ref="AL532:AL560" si="338">IMARGUMENT(AJ532)</f>
        <v>1.5179136154614243</v>
      </c>
      <c r="AM532" s="98" t="str">
        <f t="shared" si="323"/>
        <v>1+1908.10622851524i</v>
      </c>
      <c r="AN532" s="98">
        <f t="shared" ref="AN532:AN560" si="339">IMABS(AM532)</f>
        <v>1908.10649055514</v>
      </c>
      <c r="AO532" s="98">
        <f t="shared" ref="AO532:AO560" si="340">IMARGUMENT(AM532)</f>
        <v>1.5702722470065167</v>
      </c>
      <c r="AP532" s="168" t="str">
        <f t="shared" ref="AP532:AP560" si="341">IMPRODUCT(AF532,IMDIV(AM532,IMPRODUCT(AG532,AJ532)))</f>
        <v>-0.000501022468110932+0.00956030612181631i</v>
      </c>
      <c r="AQ532" s="98">
        <f t="shared" ref="AQ532:AQ560" si="342">20*LOG(IMABS(AP532))</f>
        <v>-40.378652720143471</v>
      </c>
      <c r="AR532" s="169">
        <f t="shared" ref="AR532:AR560" si="343">(180/PI())*IMARGUMENT(AP532)</f>
        <v>92.999928608614312</v>
      </c>
      <c r="AS532" s="168" t="e">
        <f t="shared" ref="AS532:AS560" si="344">IMPRODUCT(AC532,AP532)</f>
        <v>#DIV/0!</v>
      </c>
      <c r="AT532" s="190" t="e">
        <f t="shared" ref="AT532:AT560" si="345">20*LOG(IMABS(AS532))</f>
        <v>#DIV/0!</v>
      </c>
      <c r="AU532" s="169" t="e">
        <f t="shared" ref="AU532:AU560" si="346">(180/PI())*IMARGUMENT(AS532)</f>
        <v>#DIV/0!</v>
      </c>
      <c r="AV532" s="225"/>
      <c r="AX532" t="e">
        <f t="shared" ref="AX532:AX559" si="347">SUM((AT533&lt;0)*(AT532&gt;0))*O532</f>
        <v>#DIV/0!</v>
      </c>
      <c r="AY532" t="e">
        <f t="shared" ref="AY532:AY559" si="348">IF(AX532&gt;0,AU532,0)</f>
        <v>#DIV/0!</v>
      </c>
    </row>
    <row r="533" spans="14:51" x14ac:dyDescent="0.25">
      <c r="N533" s="170">
        <v>15</v>
      </c>
      <c r="O533" s="199">
        <f t="shared" si="314"/>
        <v>1412537.5446227565</v>
      </c>
      <c r="P533" s="189" t="str">
        <f t="shared" si="315"/>
        <v>290</v>
      </c>
      <c r="Q533" s="160" t="e">
        <f t="shared" si="316"/>
        <v>#DIV/0!</v>
      </c>
      <c r="R533" s="160" t="e">
        <f t="shared" si="324"/>
        <v>#DIV/0!</v>
      </c>
      <c r="S533" s="160" t="e">
        <f t="shared" si="325"/>
        <v>#DIV/0!</v>
      </c>
      <c r="T533" s="160" t="e">
        <f t="shared" si="317"/>
        <v>#DIV/0!</v>
      </c>
      <c r="U533" s="160" t="e">
        <f t="shared" si="326"/>
        <v>#DIV/0!</v>
      </c>
      <c r="V533" s="160" t="e">
        <f t="shared" si="327"/>
        <v>#DIV/0!</v>
      </c>
      <c r="W533" s="98" t="str">
        <f t="shared" si="318"/>
        <v>1-70.7245300713869i</v>
      </c>
      <c r="X533" s="160">
        <f t="shared" si="328"/>
        <v>70.731599400964413</v>
      </c>
      <c r="Y533" s="160">
        <f t="shared" si="329"/>
        <v>-1.5566579031612797</v>
      </c>
      <c r="Z533" s="98" t="str">
        <f t="shared" si="319"/>
        <v>-40.2244279952249+8.39836308404738i</v>
      </c>
      <c r="AA533" s="160">
        <f t="shared" si="330"/>
        <v>41.091813175309291</v>
      </c>
      <c r="AB533" s="160">
        <f t="shared" si="331"/>
        <v>2.9357619025246482</v>
      </c>
      <c r="AC533" s="171" t="e">
        <f t="shared" si="332"/>
        <v>#DIV/0!</v>
      </c>
      <c r="AD533" s="190" t="e">
        <f t="shared" si="333"/>
        <v>#DIV/0!</v>
      </c>
      <c r="AE533" s="169" t="e">
        <f t="shared" si="334"/>
        <v>#DIV/0!</v>
      </c>
      <c r="AF533" s="98" t="str">
        <f t="shared" si="320"/>
        <v>-0.0000182926829268293</v>
      </c>
      <c r="AG533" s="98" t="str">
        <f t="shared" si="321"/>
        <v>0.197207724948858i</v>
      </c>
      <c r="AH533" s="98">
        <f t="shared" si="335"/>
        <v>0.19720772494885799</v>
      </c>
      <c r="AI533" s="98">
        <f t="shared" si="336"/>
        <v>1.5707963267948966</v>
      </c>
      <c r="AJ533" s="98" t="str">
        <f t="shared" si="322"/>
        <v>1+19.3321953679892i</v>
      </c>
      <c r="AK533" s="98">
        <f t="shared" si="337"/>
        <v>19.358041681588119</v>
      </c>
      <c r="AL533" s="98">
        <f t="shared" si="338"/>
        <v>1.5191152057606276</v>
      </c>
      <c r="AM533" s="98" t="str">
        <f t="shared" si="323"/>
        <v>1+1952.55173216691i</v>
      </c>
      <c r="AN533" s="98">
        <f t="shared" si="339"/>
        <v>1952.5519882420544</v>
      </c>
      <c r="AO533" s="98">
        <f t="shared" si="340"/>
        <v>1.5702841765168307</v>
      </c>
      <c r="AP533" s="168" t="str">
        <f t="shared" si="341"/>
        <v>-0.000478532917797819+0.00934385030704639i</v>
      </c>
      <c r="AQ533" s="98">
        <f t="shared" si="342"/>
        <v>-40.578106615927261</v>
      </c>
      <c r="AR533" s="169">
        <f t="shared" si="343"/>
        <v>92.931766066358762</v>
      </c>
      <c r="AS533" s="168" t="e">
        <f t="shared" si="344"/>
        <v>#DIV/0!</v>
      </c>
      <c r="AT533" s="190" t="e">
        <f t="shared" si="345"/>
        <v>#DIV/0!</v>
      </c>
      <c r="AU533" s="169" t="e">
        <f t="shared" si="346"/>
        <v>#DIV/0!</v>
      </c>
      <c r="AV533" s="225"/>
      <c r="AX533" t="e">
        <f t="shared" si="347"/>
        <v>#DIV/0!</v>
      </c>
      <c r="AY533" t="e">
        <f t="shared" si="348"/>
        <v>#DIV/0!</v>
      </c>
    </row>
    <row r="534" spans="14:51" x14ac:dyDescent="0.25">
      <c r="N534" s="170">
        <v>16</v>
      </c>
      <c r="O534" s="199">
        <f t="shared" si="314"/>
        <v>1445439.7707459298</v>
      </c>
      <c r="P534" s="189" t="str">
        <f t="shared" si="315"/>
        <v>290</v>
      </c>
      <c r="Q534" s="160" t="e">
        <f t="shared" si="316"/>
        <v>#DIV/0!</v>
      </c>
      <c r="R534" s="160" t="e">
        <f t="shared" si="324"/>
        <v>#DIV/0!</v>
      </c>
      <c r="S534" s="160" t="e">
        <f t="shared" si="325"/>
        <v>#DIV/0!</v>
      </c>
      <c r="T534" s="160" t="e">
        <f t="shared" si="317"/>
        <v>#DIV/0!</v>
      </c>
      <c r="U534" s="160" t="e">
        <f t="shared" si="326"/>
        <v>#DIV/0!</v>
      </c>
      <c r="V534" s="160" t="e">
        <f t="shared" si="327"/>
        <v>#DIV/0!</v>
      </c>
      <c r="W534" s="98" t="str">
        <f t="shared" si="318"/>
        <v>1-72.3719160043997i</v>
      </c>
      <c r="X534" s="160">
        <f t="shared" si="328"/>
        <v>72.37882443192818</v>
      </c>
      <c r="Y534" s="160">
        <f t="shared" si="329"/>
        <v>-1.5569796915410672</v>
      </c>
      <c r="Z534" s="98" t="str">
        <f t="shared" si="319"/>
        <v>-42.1672754308687+8.59398609053506i</v>
      </c>
      <c r="AA534" s="160">
        <f t="shared" si="330"/>
        <v>43.0341226724451</v>
      </c>
      <c r="AB534" s="160">
        <f t="shared" si="331"/>
        <v>2.9405392068820677</v>
      </c>
      <c r="AC534" s="171" t="e">
        <f t="shared" si="332"/>
        <v>#DIV/0!</v>
      </c>
      <c r="AD534" s="190" t="e">
        <f t="shared" si="333"/>
        <v>#DIV/0!</v>
      </c>
      <c r="AE534" s="169" t="e">
        <f t="shared" si="334"/>
        <v>#DIV/0!</v>
      </c>
      <c r="AF534" s="98" t="str">
        <f t="shared" si="320"/>
        <v>-0.0000182926829268293</v>
      </c>
      <c r="AG534" s="98" t="str">
        <f t="shared" si="321"/>
        <v>0.201801282963797i</v>
      </c>
      <c r="AH534" s="98">
        <f t="shared" si="335"/>
        <v>0.20180128296379701</v>
      </c>
      <c r="AI534" s="98">
        <f t="shared" si="336"/>
        <v>1.5707963267948966</v>
      </c>
      <c r="AJ534" s="98" t="str">
        <f t="shared" si="322"/>
        <v>1+19.7825000454658i</v>
      </c>
      <c r="AK534" s="98">
        <f t="shared" si="337"/>
        <v>19.807758784094034</v>
      </c>
      <c r="AL534" s="98">
        <f t="shared" si="338"/>
        <v>1.5202895888764674</v>
      </c>
      <c r="AM534" s="98" t="str">
        <f t="shared" si="323"/>
        <v>1+1998.03250459205i</v>
      </c>
      <c r="AN534" s="98">
        <f t="shared" si="339"/>
        <v>1998.0327548382134</v>
      </c>
      <c r="AO534" s="98">
        <f t="shared" si="340"/>
        <v>1.5702958344784783</v>
      </c>
      <c r="AP534" s="168" t="str">
        <f t="shared" si="341"/>
        <v>-0.000457050282704917+0.00913224424844963i</v>
      </c>
      <c r="AQ534" s="98">
        <f t="shared" si="342"/>
        <v>-40.777585026325632</v>
      </c>
      <c r="AR534" s="169">
        <f t="shared" si="343"/>
        <v>92.865146822289844</v>
      </c>
      <c r="AS534" s="168" t="e">
        <f t="shared" si="344"/>
        <v>#DIV/0!</v>
      </c>
      <c r="AT534" s="190" t="e">
        <f t="shared" si="345"/>
        <v>#DIV/0!</v>
      </c>
      <c r="AU534" s="169" t="e">
        <f t="shared" si="346"/>
        <v>#DIV/0!</v>
      </c>
      <c r="AV534" s="225"/>
      <c r="AX534" t="e">
        <f t="shared" si="347"/>
        <v>#DIV/0!</v>
      </c>
      <c r="AY534" t="e">
        <f t="shared" si="348"/>
        <v>#DIV/0!</v>
      </c>
    </row>
    <row r="535" spans="14:51" x14ac:dyDescent="0.25">
      <c r="N535" s="170">
        <v>17</v>
      </c>
      <c r="O535" s="199">
        <f t="shared" si="314"/>
        <v>1479108.3881682095</v>
      </c>
      <c r="P535" s="189" t="str">
        <f t="shared" si="315"/>
        <v>290</v>
      </c>
      <c r="Q535" s="160" t="e">
        <f t="shared" si="316"/>
        <v>#DIV/0!</v>
      </c>
      <c r="R535" s="160" t="e">
        <f t="shared" si="324"/>
        <v>#DIV/0!</v>
      </c>
      <c r="S535" s="160" t="e">
        <f t="shared" si="325"/>
        <v>#DIV/0!</v>
      </c>
      <c r="T535" s="160" t="e">
        <f t="shared" si="317"/>
        <v>#DIV/0!</v>
      </c>
      <c r="U535" s="160" t="e">
        <f t="shared" si="326"/>
        <v>#DIV/0!</v>
      </c>
      <c r="V535" s="160" t="e">
        <f t="shared" si="327"/>
        <v>#DIV/0!</v>
      </c>
      <c r="W535" s="98" t="str">
        <f t="shared" si="318"/>
        <v>1-74.0576744852335i</v>
      </c>
      <c r="X535" s="160">
        <f t="shared" si="328"/>
        <v>74.06442567225379</v>
      </c>
      <c r="Y535" s="160">
        <f t="shared" si="329"/>
        <v>-1.5572941578881609</v>
      </c>
      <c r="Z535" s="98" t="str">
        <f t="shared" si="319"/>
        <v>-44.2016864452388+8.79416574220279i</v>
      </c>
      <c r="AA535" s="160">
        <f t="shared" si="330"/>
        <v>45.068020099673127</v>
      </c>
      <c r="AB535" s="160">
        <f t="shared" si="331"/>
        <v>2.9452016848916442</v>
      </c>
      <c r="AC535" s="171" t="e">
        <f t="shared" si="332"/>
        <v>#DIV/0!</v>
      </c>
      <c r="AD535" s="190" t="e">
        <f t="shared" si="333"/>
        <v>#DIV/0!</v>
      </c>
      <c r="AE535" s="169" t="e">
        <f t="shared" si="334"/>
        <v>#DIV/0!</v>
      </c>
      <c r="AF535" s="98" t="str">
        <f t="shared" si="320"/>
        <v>-0.0000182926829268293</v>
      </c>
      <c r="AG535" s="98" t="str">
        <f t="shared" si="321"/>
        <v>0.206501838690119i</v>
      </c>
      <c r="AH535" s="98">
        <f t="shared" si="335"/>
        <v>0.20650183869011901</v>
      </c>
      <c r="AI535" s="98">
        <f t="shared" si="336"/>
        <v>1.5707963267948966</v>
      </c>
      <c r="AJ535" s="98" t="str">
        <f t="shared" si="322"/>
        <v>1+20.2432936663189i</v>
      </c>
      <c r="AK535" s="98">
        <f t="shared" si="337"/>
        <v>20.267978154241899</v>
      </c>
      <c r="AL535" s="98">
        <f t="shared" si="338"/>
        <v>1.5214373745176166</v>
      </c>
      <c r="AM535" s="98" t="str">
        <f t="shared" si="323"/>
        <v>1+2044.5726602982i</v>
      </c>
      <c r="AN535" s="98">
        <f t="shared" si="339"/>
        <v>2044.5729048480662</v>
      </c>
      <c r="AO535" s="98">
        <f t="shared" si="340"/>
        <v>1.5703072270726521</v>
      </c>
      <c r="AP535" s="168" t="str">
        <f t="shared" si="341"/>
        <v>-0.000436529707140416+0.00892538268791407i</v>
      </c>
      <c r="AQ535" s="98">
        <f t="shared" si="342"/>
        <v>-40.977086853627398</v>
      </c>
      <c r="AR535" s="169">
        <f t="shared" si="343"/>
        <v>92.800036296830157</v>
      </c>
      <c r="AS535" s="168" t="e">
        <f t="shared" si="344"/>
        <v>#DIV/0!</v>
      </c>
      <c r="AT535" s="190" t="e">
        <f t="shared" si="345"/>
        <v>#DIV/0!</v>
      </c>
      <c r="AU535" s="169" t="e">
        <f t="shared" si="346"/>
        <v>#DIV/0!</v>
      </c>
      <c r="AV535" s="225"/>
      <c r="AX535" t="e">
        <f t="shared" si="347"/>
        <v>#DIV/0!</v>
      </c>
      <c r="AY535" t="e">
        <f t="shared" si="348"/>
        <v>#DIV/0!</v>
      </c>
    </row>
    <row r="536" spans="14:51" x14ac:dyDescent="0.25">
      <c r="N536" s="170">
        <v>18</v>
      </c>
      <c r="O536" s="199">
        <f t="shared" si="314"/>
        <v>1513561.2484362102</v>
      </c>
      <c r="P536" s="189" t="str">
        <f t="shared" si="315"/>
        <v>290</v>
      </c>
      <c r="Q536" s="160" t="e">
        <f t="shared" si="316"/>
        <v>#DIV/0!</v>
      </c>
      <c r="R536" s="160" t="e">
        <f t="shared" si="324"/>
        <v>#DIV/0!</v>
      </c>
      <c r="S536" s="160" t="e">
        <f t="shared" si="325"/>
        <v>#DIV/0!</v>
      </c>
      <c r="T536" s="160" t="e">
        <f t="shared" si="317"/>
        <v>#DIV/0!</v>
      </c>
      <c r="U536" s="160" t="e">
        <f t="shared" si="326"/>
        <v>#DIV/0!</v>
      </c>
      <c r="V536" s="160" t="e">
        <f t="shared" si="327"/>
        <v>#DIV/0!</v>
      </c>
      <c r="W536" s="98" t="str">
        <f t="shared" si="318"/>
        <v>1-75.7826993253487i</v>
      </c>
      <c r="X536" s="160">
        <f t="shared" si="328"/>
        <v>75.789296850123947</v>
      </c>
      <c r="Y536" s="160">
        <f t="shared" si="329"/>
        <v>-1.5576014686878596</v>
      </c>
      <c r="Z536" s="98" t="str">
        <f t="shared" si="319"/>
        <v>-46.3319762968549+8.99900817695161i</v>
      </c>
      <c r="AA536" s="160">
        <f t="shared" si="330"/>
        <v>47.197819607913736</v>
      </c>
      <c r="AB536" s="160">
        <f t="shared" si="331"/>
        <v>2.9497523494005526</v>
      </c>
      <c r="AC536" s="171" t="e">
        <f t="shared" si="332"/>
        <v>#DIV/0!</v>
      </c>
      <c r="AD536" s="190" t="e">
        <f t="shared" si="333"/>
        <v>#DIV/0!</v>
      </c>
      <c r="AE536" s="169" t="e">
        <f t="shared" si="334"/>
        <v>#DIV/0!</v>
      </c>
      <c r="AF536" s="98" t="str">
        <f t="shared" si="320"/>
        <v>-0.0000182926829268293</v>
      </c>
      <c r="AG536" s="98" t="str">
        <f t="shared" si="321"/>
        <v>0.211311884424689i</v>
      </c>
      <c r="AH536" s="98">
        <f t="shared" si="335"/>
        <v>0.21131188442468901</v>
      </c>
      <c r="AI536" s="98">
        <f t="shared" si="336"/>
        <v>1.5707963267948966</v>
      </c>
      <c r="AJ536" s="98" t="str">
        <f t="shared" si="322"/>
        <v>1+20.7148205494255i</v>
      </c>
      <c r="AK536" s="98">
        <f t="shared" si="337"/>
        <v>20.738943810977958</v>
      </c>
      <c r="AL536" s="98">
        <f t="shared" si="338"/>
        <v>1.5225591591514931</v>
      </c>
      <c r="AM536" s="98" t="str">
        <f t="shared" si="323"/>
        <v>1+2092.19687549197i</v>
      </c>
      <c r="AN536" s="98">
        <f t="shared" si="339"/>
        <v>2092.1971144752019</v>
      </c>
      <c r="AO536" s="98">
        <f t="shared" si="340"/>
        <v>1.5703183603398447</v>
      </c>
      <c r="AP536" s="168" t="str">
        <f t="shared" si="341"/>
        <v>-0.000416928313739335+0.00872316242363667i</v>
      </c>
      <c r="AQ536" s="98">
        <f t="shared" si="342"/>
        <v>-41.176611049032878</v>
      </c>
      <c r="AR536" s="169">
        <f t="shared" si="343"/>
        <v>92.73640066100873</v>
      </c>
      <c r="AS536" s="168" t="e">
        <f t="shared" si="344"/>
        <v>#DIV/0!</v>
      </c>
      <c r="AT536" s="190" t="e">
        <f t="shared" si="345"/>
        <v>#DIV/0!</v>
      </c>
      <c r="AU536" s="169" t="e">
        <f t="shared" si="346"/>
        <v>#DIV/0!</v>
      </c>
      <c r="AV536" s="225"/>
      <c r="AX536" t="e">
        <f t="shared" si="347"/>
        <v>#DIV/0!</v>
      </c>
      <c r="AY536" t="e">
        <f t="shared" si="348"/>
        <v>#DIV/0!</v>
      </c>
    </row>
    <row r="537" spans="14:51" x14ac:dyDescent="0.25">
      <c r="N537" s="170">
        <v>19</v>
      </c>
      <c r="O537" s="199">
        <f t="shared" si="314"/>
        <v>1548816.6189124861</v>
      </c>
      <c r="P537" s="189" t="str">
        <f t="shared" si="315"/>
        <v>290</v>
      </c>
      <c r="Q537" s="160" t="e">
        <f t="shared" si="316"/>
        <v>#DIV/0!</v>
      </c>
      <c r="R537" s="160" t="e">
        <f t="shared" si="324"/>
        <v>#DIV/0!</v>
      </c>
      <c r="S537" s="160" t="e">
        <f t="shared" si="325"/>
        <v>#DIV/0!</v>
      </c>
      <c r="T537" s="160" t="e">
        <f t="shared" si="317"/>
        <v>#DIV/0!</v>
      </c>
      <c r="U537" s="160" t="e">
        <f t="shared" si="326"/>
        <v>#DIV/0!</v>
      </c>
      <c r="V537" s="160" t="e">
        <f t="shared" si="327"/>
        <v>#DIV/0!</v>
      </c>
      <c r="W537" s="98" t="str">
        <f t="shared" si="318"/>
        <v>1-77.5479051557489i</v>
      </c>
      <c r="X537" s="160">
        <f t="shared" si="328"/>
        <v>77.554352515155628</v>
      </c>
      <c r="Y537" s="160">
        <f t="shared" si="329"/>
        <v>-1.5579017866481042</v>
      </c>
      <c r="Z537" s="98" t="str">
        <f t="shared" si="319"/>
        <v>-48.5626636161055+9.2086220049518i</v>
      </c>
      <c r="AA537" s="160">
        <f t="shared" si="330"/>
        <v>49.428038770733153</v>
      </c>
      <c r="AB537" s="160">
        <f t="shared" si="331"/>
        <v>2.9541941188194567</v>
      </c>
      <c r="AC537" s="171" t="e">
        <f t="shared" si="332"/>
        <v>#DIV/0!</v>
      </c>
      <c r="AD537" s="190" t="e">
        <f t="shared" si="333"/>
        <v>#DIV/0!</v>
      </c>
      <c r="AE537" s="169" t="e">
        <f t="shared" si="334"/>
        <v>#DIV/0!</v>
      </c>
      <c r="AF537" s="98" t="str">
        <f t="shared" si="320"/>
        <v>-0.0000182926829268293</v>
      </c>
      <c r="AG537" s="98" t="str">
        <f t="shared" si="321"/>
        <v>0.216233970517426i</v>
      </c>
      <c r="AH537" s="98">
        <f t="shared" si="335"/>
        <v>0.21623397051742599</v>
      </c>
      <c r="AI537" s="98">
        <f t="shared" si="336"/>
        <v>1.5707963267948966</v>
      </c>
      <c r="AJ537" s="98" t="str">
        <f t="shared" si="322"/>
        <v>1+21.1973307045805i</v>
      </c>
      <c r="AK537" s="98">
        <f t="shared" si="337"/>
        <v>21.220905470769889</v>
      </c>
      <c r="AL537" s="98">
        <f t="shared" si="338"/>
        <v>1.523655526263505</v>
      </c>
      <c r="AM537" s="98" t="str">
        <f t="shared" si="323"/>
        <v>1+2140.93040116263i</v>
      </c>
      <c r="AN537" s="98">
        <f t="shared" si="339"/>
        <v>2140.9306347059405</v>
      </c>
      <c r="AO537" s="98">
        <f t="shared" si="340"/>
        <v>1.5703292401830509</v>
      </c>
      <c r="AP537" s="168" t="str">
        <f t="shared" si="341"/>
        <v>-0.000398205117960004+0.00852548228564709i</v>
      </c>
      <c r="AQ537" s="98">
        <f t="shared" si="342"/>
        <v>-41.37615661049626</v>
      </c>
      <c r="AR537" s="169">
        <f t="shared" si="343"/>
        <v>92.674206821790975</v>
      </c>
      <c r="AS537" s="168" t="e">
        <f t="shared" si="344"/>
        <v>#DIV/0!</v>
      </c>
      <c r="AT537" s="190" t="e">
        <f t="shared" si="345"/>
        <v>#DIV/0!</v>
      </c>
      <c r="AU537" s="169" t="e">
        <f t="shared" si="346"/>
        <v>#DIV/0!</v>
      </c>
      <c r="AV537" s="225"/>
      <c r="AX537" t="e">
        <f t="shared" si="347"/>
        <v>#DIV/0!</v>
      </c>
      <c r="AY537" t="e">
        <f t="shared" si="348"/>
        <v>#DIV/0!</v>
      </c>
    </row>
    <row r="538" spans="14:51" x14ac:dyDescent="0.25">
      <c r="N538" s="170">
        <v>20</v>
      </c>
      <c r="O538" s="199">
        <f t="shared" si="314"/>
        <v>1584893.1924611153</v>
      </c>
      <c r="P538" s="189" t="str">
        <f t="shared" si="315"/>
        <v>290</v>
      </c>
      <c r="Q538" s="160" t="e">
        <f t="shared" si="316"/>
        <v>#DIV/0!</v>
      </c>
      <c r="R538" s="160" t="e">
        <f t="shared" si="324"/>
        <v>#DIV/0!</v>
      </c>
      <c r="S538" s="160" t="e">
        <f t="shared" si="325"/>
        <v>#DIV/0!</v>
      </c>
      <c r="T538" s="160" t="e">
        <f t="shared" si="317"/>
        <v>#DIV/0!</v>
      </c>
      <c r="U538" s="160" t="e">
        <f t="shared" si="326"/>
        <v>#DIV/0!</v>
      </c>
      <c r="V538" s="160" t="e">
        <f t="shared" si="327"/>
        <v>#DIV/0!</v>
      </c>
      <c r="W538" s="98" t="str">
        <f t="shared" si="318"/>
        <v>1-79.3542279119303i</v>
      </c>
      <c r="X538" s="160">
        <f t="shared" si="328"/>
        <v>79.360528523306698</v>
      </c>
      <c r="Y538" s="160">
        <f t="shared" si="329"/>
        <v>-1.5581952707846407</v>
      </c>
      <c r="Z538" s="98" t="str">
        <f t="shared" si="319"/>
        <v>-50.8984799898675+9.42311836622951i</v>
      </c>
      <c r="AA538" s="160">
        <f t="shared" si="330"/>
        <v>51.763408166608535</v>
      </c>
      <c r="AB538" s="160">
        <f t="shared" si="331"/>
        <v>2.9585298209074562</v>
      </c>
      <c r="AC538" s="171" t="e">
        <f t="shared" si="332"/>
        <v>#DIV/0!</v>
      </c>
      <c r="AD538" s="190" t="e">
        <f t="shared" si="333"/>
        <v>#DIV/0!</v>
      </c>
      <c r="AE538" s="169" t="e">
        <f t="shared" si="334"/>
        <v>#DIV/0!</v>
      </c>
      <c r="AF538" s="98" t="str">
        <f t="shared" si="320"/>
        <v>-0.0000182926829268293</v>
      </c>
      <c r="AG538" s="98" t="str">
        <f t="shared" si="321"/>
        <v>0.221270706723524i</v>
      </c>
      <c r="AH538" s="98">
        <f t="shared" si="335"/>
        <v>0.221270706723524</v>
      </c>
      <c r="AI538" s="98">
        <f t="shared" si="336"/>
        <v>1.5707963267948966</v>
      </c>
      <c r="AJ538" s="98" t="str">
        <f t="shared" si="322"/>
        <v>1+21.6910799650548i</v>
      </c>
      <c r="AK538" s="98">
        <f t="shared" si="337"/>
        <v>21.714118680029404</v>
      </c>
      <c r="AL538" s="98">
        <f t="shared" si="338"/>
        <v>1.5247270466131639</v>
      </c>
      <c r="AM538" s="98" t="str">
        <f t="shared" si="323"/>
        <v>1+2190.79907647054i</v>
      </c>
      <c r="AN538" s="98">
        <f t="shared" si="339"/>
        <v>2190.7993046977563</v>
      </c>
      <c r="AO538" s="98">
        <f t="shared" si="340"/>
        <v>1.5703398723708968</v>
      </c>
      <c r="AP538" s="168" t="str">
        <f t="shared" si="341"/>
        <v>-0.000380320946121489+0.00833224311043595i</v>
      </c>
      <c r="AQ538" s="98">
        <f t="shared" si="342"/>
        <v>-41.575722580660099</v>
      </c>
      <c r="AR538" s="169">
        <f t="shared" si="343"/>
        <v>92.613422407583698</v>
      </c>
      <c r="AS538" s="168" t="e">
        <f t="shared" si="344"/>
        <v>#DIV/0!</v>
      </c>
      <c r="AT538" s="190" t="e">
        <f t="shared" si="345"/>
        <v>#DIV/0!</v>
      </c>
      <c r="AU538" s="169" t="e">
        <f t="shared" si="346"/>
        <v>#DIV/0!</v>
      </c>
      <c r="AV538" s="225"/>
      <c r="AX538" t="e">
        <f t="shared" si="347"/>
        <v>#DIV/0!</v>
      </c>
      <c r="AY538" t="e">
        <f t="shared" si="348"/>
        <v>#DIV/0!</v>
      </c>
    </row>
    <row r="539" spans="14:51" x14ac:dyDescent="0.25">
      <c r="N539" s="170">
        <v>21</v>
      </c>
      <c r="O539" s="199">
        <f t="shared" si="314"/>
        <v>1621810.0973589318</v>
      </c>
      <c r="P539" s="189" t="str">
        <f t="shared" si="315"/>
        <v>290</v>
      </c>
      <c r="Q539" s="160" t="e">
        <f t="shared" si="316"/>
        <v>#DIV/0!</v>
      </c>
      <c r="R539" s="160" t="e">
        <f t="shared" si="324"/>
        <v>#DIV/0!</v>
      </c>
      <c r="S539" s="160" t="e">
        <f t="shared" si="325"/>
        <v>#DIV/0!</v>
      </c>
      <c r="T539" s="160" t="e">
        <f t="shared" si="317"/>
        <v>#DIV/0!</v>
      </c>
      <c r="U539" s="160" t="e">
        <f t="shared" si="326"/>
        <v>#DIV/0!</v>
      </c>
      <c r="V539" s="160" t="e">
        <f t="shared" si="327"/>
        <v>#DIV/0!</v>
      </c>
      <c r="W539" s="98" t="str">
        <f t="shared" si="318"/>
        <v>1-81.2026253301278i</v>
      </c>
      <c r="X539" s="160">
        <f t="shared" si="328"/>
        <v>81.20878253308021</v>
      </c>
      <c r="Y539" s="160">
        <f t="shared" si="329"/>
        <v>-1.5584820765042977</v>
      </c>
      <c r="Z539" s="98" t="str">
        <f t="shared" si="319"/>
        <v>-53.3443799978382+9.64261098959469i</v>
      </c>
      <c r="AA539" s="160">
        <f t="shared" si="330"/>
        <v>54.208881413015824</v>
      </c>
      <c r="AB539" s="160">
        <f t="shared" si="331"/>
        <v>2.9627621963723891</v>
      </c>
      <c r="AC539" s="171" t="e">
        <f t="shared" si="332"/>
        <v>#DIV/0!</v>
      </c>
      <c r="AD539" s="190" t="e">
        <f t="shared" si="333"/>
        <v>#DIV/0!</v>
      </c>
      <c r="AE539" s="169" t="e">
        <f t="shared" si="334"/>
        <v>#DIV/0!</v>
      </c>
      <c r="AF539" s="98" t="str">
        <f t="shared" si="320"/>
        <v>-0.0000182926829268293</v>
      </c>
      <c r="AG539" s="98" t="str">
        <f t="shared" si="321"/>
        <v>0.226424763587192i</v>
      </c>
      <c r="AH539" s="98">
        <f t="shared" si="335"/>
        <v>0.22642476358719199</v>
      </c>
      <c r="AI539" s="98">
        <f t="shared" si="336"/>
        <v>1.5707963267948966</v>
      </c>
      <c r="AJ539" s="98" t="str">
        <f t="shared" si="322"/>
        <v>1+22.196330123242i</v>
      </c>
      <c r="AK539" s="98">
        <f t="shared" si="337"/>
        <v>22.218844950625588</v>
      </c>
      <c r="AL539" s="98">
        <f t="shared" si="338"/>
        <v>1.5257742784869663</v>
      </c>
      <c r="AM539" s="98" t="str">
        <f t="shared" si="323"/>
        <v>1+2241.82934244744i</v>
      </c>
      <c r="AN539" s="98">
        <f t="shared" si="339"/>
        <v>2241.8295654795711</v>
      </c>
      <c r="AO539" s="98">
        <f t="shared" si="340"/>
        <v>1.5703502625406998</v>
      </c>
      <c r="AP539" s="168" t="str">
        <f t="shared" si="341"/>
        <v>-0.000363238356848981+0.00814334771479845i</v>
      </c>
      <c r="AQ539" s="98">
        <f t="shared" si="342"/>
        <v>-41.775308044880568</v>
      </c>
      <c r="AR539" s="169">
        <f t="shared" si="343"/>
        <v>92.554015753921377</v>
      </c>
      <c r="AS539" s="168" t="e">
        <f t="shared" si="344"/>
        <v>#DIV/0!</v>
      </c>
      <c r="AT539" s="190" t="e">
        <f t="shared" si="345"/>
        <v>#DIV/0!</v>
      </c>
      <c r="AU539" s="169" t="e">
        <f t="shared" si="346"/>
        <v>#DIV/0!</v>
      </c>
      <c r="AV539" s="225"/>
      <c r="AX539" t="e">
        <f t="shared" si="347"/>
        <v>#DIV/0!</v>
      </c>
      <c r="AY539" t="e">
        <f t="shared" si="348"/>
        <v>#DIV/0!</v>
      </c>
    </row>
    <row r="540" spans="14:51" x14ac:dyDescent="0.25">
      <c r="N540" s="170">
        <v>22</v>
      </c>
      <c r="O540" s="199">
        <f t="shared" si="314"/>
        <v>1659586.9074375622</v>
      </c>
      <c r="P540" s="189" t="str">
        <f t="shared" si="315"/>
        <v>290</v>
      </c>
      <c r="Q540" s="160" t="e">
        <f t="shared" si="316"/>
        <v>#DIV/0!</v>
      </c>
      <c r="R540" s="160" t="e">
        <f t="shared" si="324"/>
        <v>#DIV/0!</v>
      </c>
      <c r="S540" s="160" t="e">
        <f t="shared" si="325"/>
        <v>#DIV/0!</v>
      </c>
      <c r="T540" s="160" t="e">
        <f t="shared" si="317"/>
        <v>#DIV/0!</v>
      </c>
      <c r="U540" s="160" t="e">
        <f t="shared" si="326"/>
        <v>#DIV/0!</v>
      </c>
      <c r="V540" s="160" t="e">
        <f t="shared" si="327"/>
        <v>#DIV/0!</v>
      </c>
      <c r="W540" s="98" t="str">
        <f t="shared" si="318"/>
        <v>1-83.0940774551197i</v>
      </c>
      <c r="X540" s="160">
        <f t="shared" si="328"/>
        <v>83.100094513288198</v>
      </c>
      <c r="Y540" s="160">
        <f t="shared" si="329"/>
        <v>-1.5587623556864203</v>
      </c>
      <c r="Z540" s="98" t="str">
        <f t="shared" si="319"/>
        <v>-55.9055517218629+9.86721625294167i</v>
      </c>
      <c r="AA540" s="160">
        <f t="shared" si="330"/>
        <v>56.769645673618605</v>
      </c>
      <c r="AB540" s="160">
        <f t="shared" si="331"/>
        <v>2.9668939022959631</v>
      </c>
      <c r="AC540" s="171" t="e">
        <f t="shared" si="332"/>
        <v>#DIV/0!</v>
      </c>
      <c r="AD540" s="190" t="e">
        <f t="shared" si="333"/>
        <v>#DIV/0!</v>
      </c>
      <c r="AE540" s="169" t="e">
        <f t="shared" si="334"/>
        <v>#DIV/0!</v>
      </c>
      <c r="AF540" s="98" t="str">
        <f t="shared" si="320"/>
        <v>-0.0000182926829268293</v>
      </c>
      <c r="AG540" s="98" t="str">
        <f t="shared" si="321"/>
        <v>0.2316988738576i</v>
      </c>
      <c r="AH540" s="98">
        <f t="shared" si="335"/>
        <v>0.23169887385759999</v>
      </c>
      <c r="AI540" s="98">
        <f t="shared" si="336"/>
        <v>1.5707963267948966</v>
      </c>
      <c r="AJ540" s="98" t="str">
        <f t="shared" si="322"/>
        <v>1+22.7133490694638i</v>
      </c>
      <c r="AK540" s="98">
        <f t="shared" si="337"/>
        <v>22.735351898559038</v>
      </c>
      <c r="AL540" s="98">
        <f t="shared" si="338"/>
        <v>1.5267977679479374</v>
      </c>
      <c r="AM540" s="98" t="str">
        <f t="shared" si="323"/>
        <v>1+2294.04825601584i</v>
      </c>
      <c r="AN540" s="98">
        <f t="shared" si="339"/>
        <v>2294.0484739711396</v>
      </c>
      <c r="AO540" s="98">
        <f t="shared" si="340"/>
        <v>1.5703604162014562</v>
      </c>
      <c r="AP540" s="168" t="str">
        <f t="shared" si="341"/>
        <v>-0.000346921565798263+0.00795870086900105i</v>
      </c>
      <c r="AQ540" s="98">
        <f t="shared" si="342"/>
        <v>-41.974912129337348</v>
      </c>
      <c r="AR540" s="169">
        <f t="shared" si="343"/>
        <v>92.495955889339584</v>
      </c>
      <c r="AS540" s="168" t="e">
        <f t="shared" si="344"/>
        <v>#DIV/0!</v>
      </c>
      <c r="AT540" s="190" t="e">
        <f t="shared" si="345"/>
        <v>#DIV/0!</v>
      </c>
      <c r="AU540" s="169" t="e">
        <f t="shared" si="346"/>
        <v>#DIV/0!</v>
      </c>
      <c r="AV540" s="225"/>
      <c r="AX540" t="e">
        <f t="shared" si="347"/>
        <v>#DIV/0!</v>
      </c>
      <c r="AY540" t="e">
        <f t="shared" si="348"/>
        <v>#DIV/0!</v>
      </c>
    </row>
    <row r="541" spans="14:51" x14ac:dyDescent="0.25">
      <c r="N541" s="170">
        <v>23</v>
      </c>
      <c r="O541" s="199">
        <f t="shared" si="314"/>
        <v>1698243.6524617488</v>
      </c>
      <c r="P541" s="189" t="str">
        <f t="shared" si="315"/>
        <v>290</v>
      </c>
      <c r="Q541" s="160" t="e">
        <f t="shared" si="316"/>
        <v>#DIV/0!</v>
      </c>
      <c r="R541" s="160" t="e">
        <f t="shared" si="324"/>
        <v>#DIV/0!</v>
      </c>
      <c r="S541" s="160" t="e">
        <f t="shared" si="325"/>
        <v>#DIV/0!</v>
      </c>
      <c r="T541" s="160" t="e">
        <f t="shared" si="317"/>
        <v>#DIV/0!</v>
      </c>
      <c r="U541" s="160" t="e">
        <f t="shared" si="326"/>
        <v>#DIV/0!</v>
      </c>
      <c r="V541" s="160" t="e">
        <f t="shared" si="327"/>
        <v>#DIV/0!</v>
      </c>
      <c r="W541" s="98" t="str">
        <f t="shared" si="318"/>
        <v>1-85.0295871598587i</v>
      </c>
      <c r="X541" s="160">
        <f t="shared" si="328"/>
        <v>85.035467262642868</v>
      </c>
      <c r="Y541" s="160">
        <f t="shared" si="329"/>
        <v>-1.5590362567624978</v>
      </c>
      <c r="Z541" s="98" t="str">
        <f t="shared" si="319"/>
        <v>-58.5874277505503+10.097053244954i</v>
      </c>
      <c r="AA541" s="160">
        <f t="shared" si="330"/>
        <v>59.451132660844969</v>
      </c>
      <c r="AB541" s="160">
        <f t="shared" si="331"/>
        <v>2.9709275153928187</v>
      </c>
      <c r="AC541" s="171" t="e">
        <f t="shared" si="332"/>
        <v>#DIV/0!</v>
      </c>
      <c r="AD541" s="190" t="e">
        <f t="shared" si="333"/>
        <v>#DIV/0!</v>
      </c>
      <c r="AE541" s="169" t="e">
        <f t="shared" si="334"/>
        <v>#DIV/0!</v>
      </c>
      <c r="AF541" s="98" t="str">
        <f t="shared" si="320"/>
        <v>-0.0000182926829268293</v>
      </c>
      <c r="AG541" s="98" t="str">
        <f t="shared" si="321"/>
        <v>0.237095833937825i</v>
      </c>
      <c r="AH541" s="98">
        <f t="shared" si="335"/>
        <v>0.23709583393782499</v>
      </c>
      <c r="AI541" s="98">
        <f t="shared" si="336"/>
        <v>1.5707963267948966</v>
      </c>
      <c r="AJ541" s="98" t="str">
        <f t="shared" si="322"/>
        <v>1+23.2424109340091i</v>
      </c>
      <c r="AK541" s="98">
        <f t="shared" si="337"/>
        <v>23.263913385871817</v>
      </c>
      <c r="AL541" s="98">
        <f t="shared" si="338"/>
        <v>1.5277980490817611</v>
      </c>
      <c r="AM541" s="98" t="str">
        <f t="shared" si="323"/>
        <v>1+2347.48350433491i</v>
      </c>
      <c r="AN541" s="98">
        <f t="shared" si="339"/>
        <v>2347.483717328942</v>
      </c>
      <c r="AO541" s="98">
        <f t="shared" si="340"/>
        <v>1.5703703387367633</v>
      </c>
      <c r="AP541" s="168" t="str">
        <f t="shared" si="341"/>
        <v>-0.000331336373533737+0.00777820926936634i</v>
      </c>
      <c r="AQ541" s="98">
        <f t="shared" si="342"/>
        <v>-42.174533999226611</v>
      </c>
      <c r="AR541" s="169">
        <f t="shared" si="343"/>
        <v>92.439212521440083</v>
      </c>
      <c r="AS541" s="168" t="e">
        <f t="shared" si="344"/>
        <v>#DIV/0!</v>
      </c>
      <c r="AT541" s="190" t="e">
        <f t="shared" si="345"/>
        <v>#DIV/0!</v>
      </c>
      <c r="AU541" s="169" t="e">
        <f t="shared" si="346"/>
        <v>#DIV/0!</v>
      </c>
      <c r="AV541" s="225"/>
      <c r="AX541" t="e">
        <f t="shared" si="347"/>
        <v>#DIV/0!</v>
      </c>
      <c r="AY541" t="e">
        <f t="shared" si="348"/>
        <v>#DIV/0!</v>
      </c>
    </row>
    <row r="542" spans="14:51" x14ac:dyDescent="0.25">
      <c r="N542" s="170">
        <v>24</v>
      </c>
      <c r="O542" s="199">
        <f t="shared" si="314"/>
        <v>1737800.8287493798</v>
      </c>
      <c r="P542" s="189" t="str">
        <f t="shared" si="315"/>
        <v>290</v>
      </c>
      <c r="Q542" s="160" t="e">
        <f t="shared" si="316"/>
        <v>#DIV/0!</v>
      </c>
      <c r="R542" s="160" t="e">
        <f t="shared" si="324"/>
        <v>#DIV/0!</v>
      </c>
      <c r="S542" s="160" t="e">
        <f t="shared" si="325"/>
        <v>#DIV/0!</v>
      </c>
      <c r="T542" s="160" t="e">
        <f t="shared" si="317"/>
        <v>#DIV/0!</v>
      </c>
      <c r="U542" s="160" t="e">
        <f t="shared" si="326"/>
        <v>#DIV/0!</v>
      </c>
      <c r="V542" s="160" t="e">
        <f t="shared" si="327"/>
        <v>#DIV/0!</v>
      </c>
      <c r="W542" s="98" t="str">
        <f t="shared" si="318"/>
        <v>1-87.0101806772085i</v>
      </c>
      <c r="X542" s="160">
        <f t="shared" si="328"/>
        <v>87.01592694145404</v>
      </c>
      <c r="Y542" s="160">
        <f t="shared" si="329"/>
        <v>-1.5593039247940232</v>
      </c>
      <c r="Z542" s="98" t="str">
        <f t="shared" si="319"/>
        <v>-61.3956967025213+10.332243828247i</v>
      </c>
      <c r="AA542" s="160">
        <f t="shared" si="330"/>
        <v>62.259030157193529</v>
      </c>
      <c r="AB542" s="160">
        <f t="shared" si="331"/>
        <v>2.9748655351121966</v>
      </c>
      <c r="AC542" s="171" t="e">
        <f t="shared" si="332"/>
        <v>#DIV/0!</v>
      </c>
      <c r="AD542" s="190" t="e">
        <f t="shared" si="333"/>
        <v>#DIV/0!</v>
      </c>
      <c r="AE542" s="169" t="e">
        <f t="shared" si="334"/>
        <v>#DIV/0!</v>
      </c>
      <c r="AF542" s="98" t="str">
        <f t="shared" si="320"/>
        <v>-0.0000182926829268293</v>
      </c>
      <c r="AG542" s="98" t="str">
        <f t="shared" si="321"/>
        <v>0.242618505367538i</v>
      </c>
      <c r="AH542" s="98">
        <f t="shared" si="335"/>
        <v>0.24261850536753801</v>
      </c>
      <c r="AI542" s="98">
        <f t="shared" si="336"/>
        <v>1.5707963267948966</v>
      </c>
      <c r="AJ542" s="98" t="str">
        <f t="shared" si="322"/>
        <v>1+23.7837962324809i</v>
      </c>
      <c r="AK542" s="98">
        <f t="shared" si="337"/>
        <v>23.804809665867371</v>
      </c>
      <c r="AL542" s="98">
        <f t="shared" si="338"/>
        <v>1.5287756442394251</v>
      </c>
      <c r="AM542" s="98" t="str">
        <f t="shared" si="323"/>
        <v>1+2402.16341948057i</v>
      </c>
      <c r="AN542" s="98">
        <f t="shared" si="339"/>
        <v>2402.1636276262666</v>
      </c>
      <c r="AO542" s="98">
        <f t="shared" si="340"/>
        <v>1.5703800354076729</v>
      </c>
      <c r="AP542" s="168" t="str">
        <f t="shared" si="341"/>
        <v>-0.000316450096438468+0.00760178151036766i</v>
      </c>
      <c r="AQ542" s="98">
        <f t="shared" si="342"/>
        <v>-42.374172857032022</v>
      </c>
      <c r="AR542" s="169">
        <f t="shared" si="343"/>
        <v>92.383756023151946</v>
      </c>
      <c r="AS542" s="168" t="e">
        <f t="shared" si="344"/>
        <v>#DIV/0!</v>
      </c>
      <c r="AT542" s="190" t="e">
        <f t="shared" si="345"/>
        <v>#DIV/0!</v>
      </c>
      <c r="AU542" s="169" t="e">
        <f t="shared" si="346"/>
        <v>#DIV/0!</v>
      </c>
      <c r="AV542" s="225"/>
      <c r="AX542" t="e">
        <f t="shared" si="347"/>
        <v>#DIV/0!</v>
      </c>
      <c r="AY542" t="e">
        <f t="shared" si="348"/>
        <v>#DIV/0!</v>
      </c>
    </row>
    <row r="543" spans="14:51" x14ac:dyDescent="0.25">
      <c r="N543" s="170">
        <v>25</v>
      </c>
      <c r="O543" s="199">
        <f t="shared" si="314"/>
        <v>1778279.4100389241</v>
      </c>
      <c r="P543" s="189" t="str">
        <f t="shared" si="315"/>
        <v>290</v>
      </c>
      <c r="Q543" s="160" t="e">
        <f t="shared" si="316"/>
        <v>#DIV/0!</v>
      </c>
      <c r="R543" s="160" t="e">
        <f t="shared" si="324"/>
        <v>#DIV/0!</v>
      </c>
      <c r="S543" s="160" t="e">
        <f t="shared" si="325"/>
        <v>#DIV/0!</v>
      </c>
      <c r="T543" s="160" t="e">
        <f t="shared" si="317"/>
        <v>#DIV/0!</v>
      </c>
      <c r="U543" s="160" t="e">
        <f t="shared" si="326"/>
        <v>#DIV/0!</v>
      </c>
      <c r="V543" s="160" t="e">
        <f t="shared" si="327"/>
        <v>#DIV/0!</v>
      </c>
      <c r="W543" s="98" t="str">
        <f t="shared" si="318"/>
        <v>1-89.0369081440692i</v>
      </c>
      <c r="X543" s="160">
        <f t="shared" si="328"/>
        <v>89.042523615716419</v>
      </c>
      <c r="Y543" s="160">
        <f t="shared" si="329"/>
        <v>-1.5595655015486229</v>
      </c>
      <c r="Z543" s="98" t="str">
        <f t="shared" si="319"/>
        <v>-64.3363152927348+10.5729127039812i</v>
      </c>
      <c r="AA543" s="160">
        <f t="shared" si="330"/>
        <v>65.199294079707542</v>
      </c>
      <c r="AB543" s="160">
        <f t="shared" si="331"/>
        <v>2.9787103865904885</v>
      </c>
      <c r="AC543" s="171" t="e">
        <f t="shared" si="332"/>
        <v>#DIV/0!</v>
      </c>
      <c r="AD543" s="190" t="e">
        <f t="shared" si="333"/>
        <v>#DIV/0!</v>
      </c>
      <c r="AE543" s="169" t="e">
        <f t="shared" si="334"/>
        <v>#DIV/0!</v>
      </c>
      <c r="AF543" s="98" t="str">
        <f t="shared" si="320"/>
        <v>-0.0000182926829268293</v>
      </c>
      <c r="AG543" s="98" t="str">
        <f t="shared" si="321"/>
        <v>0.248269816340232i</v>
      </c>
      <c r="AH543" s="98">
        <f t="shared" si="335"/>
        <v>0.24826981634023201</v>
      </c>
      <c r="AI543" s="98">
        <f t="shared" si="336"/>
        <v>1.5707963267948966</v>
      </c>
      <c r="AJ543" s="98" t="str">
        <f t="shared" si="322"/>
        <v>1+24.337792014531i</v>
      </c>
      <c r="AK543" s="98">
        <f t="shared" si="337"/>
        <v>24.35832753172042</v>
      </c>
      <c r="AL543" s="98">
        <f t="shared" si="338"/>
        <v>1.5297310642763235</v>
      </c>
      <c r="AM543" s="98" t="str">
        <f t="shared" si="323"/>
        <v>1+2458.11699346763i</v>
      </c>
      <c r="AN543" s="98">
        <f t="shared" si="339"/>
        <v>2458.1171968753529</v>
      </c>
      <c r="AO543" s="98">
        <f t="shared" si="340"/>
        <v>1.5703895113554804</v>
      </c>
      <c r="AP543" s="168" t="str">
        <f t="shared" si="341"/>
        <v>-0.000302231500538273+0.00742932805631544i</v>
      </c>
      <c r="AQ543" s="98">
        <f t="shared" si="342"/>
        <v>-42.573827940871787</v>
      </c>
      <c r="AR543" s="169">
        <f t="shared" si="343"/>
        <v>92.329557419191701</v>
      </c>
      <c r="AS543" s="168" t="e">
        <f t="shared" si="344"/>
        <v>#DIV/0!</v>
      </c>
      <c r="AT543" s="190" t="e">
        <f t="shared" si="345"/>
        <v>#DIV/0!</v>
      </c>
      <c r="AU543" s="169" t="e">
        <f t="shared" si="346"/>
        <v>#DIV/0!</v>
      </c>
      <c r="AV543" s="225"/>
      <c r="AX543" t="e">
        <f t="shared" si="347"/>
        <v>#DIV/0!</v>
      </c>
      <c r="AY543" t="e">
        <f t="shared" si="348"/>
        <v>#DIV/0!</v>
      </c>
    </row>
    <row r="544" spans="14:51" x14ac:dyDescent="0.25">
      <c r="N544" s="170">
        <v>26</v>
      </c>
      <c r="O544" s="199">
        <f t="shared" si="314"/>
        <v>1819700.8586099846</v>
      </c>
      <c r="P544" s="189" t="str">
        <f t="shared" si="315"/>
        <v>290</v>
      </c>
      <c r="Q544" s="160" t="e">
        <f t="shared" si="316"/>
        <v>#DIV/0!</v>
      </c>
      <c r="R544" s="160" t="e">
        <f t="shared" si="324"/>
        <v>#DIV/0!</v>
      </c>
      <c r="S544" s="160" t="e">
        <f t="shared" si="325"/>
        <v>#DIV/0!</v>
      </c>
      <c r="T544" s="160" t="e">
        <f t="shared" si="317"/>
        <v>#DIV/0!</v>
      </c>
      <c r="U544" s="160" t="e">
        <f t="shared" si="326"/>
        <v>#DIV/0!</v>
      </c>
      <c r="V544" s="160" t="e">
        <f t="shared" si="327"/>
        <v>#DIV/0!</v>
      </c>
      <c r="W544" s="98" t="str">
        <f t="shared" si="318"/>
        <v>1-91.1108441581714i</v>
      </c>
      <c r="X544" s="160">
        <f t="shared" si="328"/>
        <v>91.116331813866367</v>
      </c>
      <c r="Y544" s="160">
        <f t="shared" si="329"/>
        <v>-1.5598211255744909</v>
      </c>
      <c r="Z544" s="98" t="str">
        <f t="shared" si="319"/>
        <v>-67.4155209674773+10.8191874779801i</v>
      </c>
      <c r="AA544" s="160">
        <f t="shared" si="330"/>
        <v>68.278161113199687</v>
      </c>
      <c r="AB544" s="160">
        <f t="shared" si="331"/>
        <v>2.9824644234625404</v>
      </c>
      <c r="AC544" s="171" t="e">
        <f t="shared" si="332"/>
        <v>#DIV/0!</v>
      </c>
      <c r="AD544" s="190" t="e">
        <f t="shared" si="333"/>
        <v>#DIV/0!</v>
      </c>
      <c r="AE544" s="169" t="e">
        <f t="shared" si="334"/>
        <v>#DIV/0!</v>
      </c>
      <c r="AF544" s="98" t="str">
        <f t="shared" si="320"/>
        <v>-0.0000182926829268293</v>
      </c>
      <c r="AG544" s="98" t="str">
        <f t="shared" si="321"/>
        <v>0.254052763255789i</v>
      </c>
      <c r="AH544" s="98">
        <f t="shared" si="335"/>
        <v>0.25405276325578902</v>
      </c>
      <c r="AI544" s="98">
        <f t="shared" si="336"/>
        <v>1.5707963267948966</v>
      </c>
      <c r="AJ544" s="98" t="str">
        <f t="shared" si="322"/>
        <v>1+24.9046920160561i</v>
      </c>
      <c r="AK544" s="98">
        <f t="shared" si="337"/>
        <v>24.924760468550311</v>
      </c>
      <c r="AL544" s="98">
        <f t="shared" si="338"/>
        <v>1.5306648087877608</v>
      </c>
      <c r="AM544" s="98" t="str">
        <f t="shared" si="323"/>
        <v>1+2515.37389362166i</v>
      </c>
      <c r="AN544" s="98">
        <f t="shared" si="339"/>
        <v>2515.3740923992577</v>
      </c>
      <c r="AO544" s="98">
        <f t="shared" si="340"/>
        <v>1.5703987716044525</v>
      </c>
      <c r="AP544" s="168" t="str">
        <f t="shared" si="341"/>
        <v>-0.000288650738125757+0.00726076121271278i</v>
      </c>
      <c r="AQ544" s="98">
        <f t="shared" si="342"/>
        <v>-42.773498522917386</v>
      </c>
      <c r="AR544" s="169">
        <f t="shared" si="343"/>
        <v>92.276588372726195</v>
      </c>
      <c r="AS544" s="168" t="e">
        <f t="shared" si="344"/>
        <v>#DIV/0!</v>
      </c>
      <c r="AT544" s="190" t="e">
        <f t="shared" si="345"/>
        <v>#DIV/0!</v>
      </c>
      <c r="AU544" s="169" t="e">
        <f t="shared" si="346"/>
        <v>#DIV/0!</v>
      </c>
      <c r="AV544" s="225"/>
      <c r="AX544" t="e">
        <f t="shared" si="347"/>
        <v>#DIV/0!</v>
      </c>
      <c r="AY544" t="e">
        <f t="shared" si="348"/>
        <v>#DIV/0!</v>
      </c>
    </row>
    <row r="545" spans="14:51" x14ac:dyDescent="0.25">
      <c r="N545" s="170">
        <v>27</v>
      </c>
      <c r="O545" s="199">
        <f t="shared" si="314"/>
        <v>1862087.1366628683</v>
      </c>
      <c r="P545" s="189" t="str">
        <f t="shared" si="315"/>
        <v>290</v>
      </c>
      <c r="Q545" s="160" t="e">
        <f t="shared" si="316"/>
        <v>#DIV/0!</v>
      </c>
      <c r="R545" s="160" t="e">
        <f t="shared" si="324"/>
        <v>#DIV/0!</v>
      </c>
      <c r="S545" s="160" t="e">
        <f t="shared" si="325"/>
        <v>#DIV/0!</v>
      </c>
      <c r="T545" s="160" t="e">
        <f t="shared" si="317"/>
        <v>#DIV/0!</v>
      </c>
      <c r="U545" s="160" t="e">
        <f t="shared" si="326"/>
        <v>#DIV/0!</v>
      </c>
      <c r="V545" s="160" t="e">
        <f t="shared" si="327"/>
        <v>#DIV/0!</v>
      </c>
      <c r="W545" s="98" t="str">
        <f t="shared" si="318"/>
        <v>1-93.2330883478406i</v>
      </c>
      <c r="X545" s="160">
        <f t="shared" si="328"/>
        <v>93.238451096509792</v>
      </c>
      <c r="Y545" s="160">
        <f t="shared" si="329"/>
        <v>-1.560070932273165</v>
      </c>
      <c r="Z545" s="98" t="str">
        <f t="shared" si="319"/>
        <v>-70.6398451348202+11.0711987283888i</v>
      </c>
      <c r="AA545" s="160">
        <f t="shared" si="330"/>
        <v>71.502161939027133</v>
      </c>
      <c r="AB545" s="160">
        <f t="shared" si="331"/>
        <v>2.9861299305391866</v>
      </c>
      <c r="AC545" s="171" t="e">
        <f t="shared" si="332"/>
        <v>#DIV/0!</v>
      </c>
      <c r="AD545" s="190" t="e">
        <f t="shared" si="333"/>
        <v>#DIV/0!</v>
      </c>
      <c r="AE545" s="169" t="e">
        <f t="shared" si="334"/>
        <v>#DIV/0!</v>
      </c>
      <c r="AF545" s="98" t="str">
        <f t="shared" si="320"/>
        <v>-0.0000182926829268293</v>
      </c>
      <c r="AG545" s="98" t="str">
        <f t="shared" si="321"/>
        <v>0.25997041230921i</v>
      </c>
      <c r="AH545" s="98">
        <f t="shared" si="335"/>
        <v>0.25997041230920998</v>
      </c>
      <c r="AI545" s="98">
        <f t="shared" si="336"/>
        <v>1.5707963267948966</v>
      </c>
      <c r="AJ545" s="98" t="str">
        <f t="shared" si="322"/>
        <v>1+25.4847968149406i</v>
      </c>
      <c r="AK545" s="98">
        <f t="shared" si="337"/>
        <v>25.504408809043323</v>
      </c>
      <c r="AL545" s="98">
        <f t="shared" si="338"/>
        <v>1.5315773663408263</v>
      </c>
      <c r="AM545" s="98" t="str">
        <f t="shared" si="323"/>
        <v>1+2573.964478309i</v>
      </c>
      <c r="AN545" s="98">
        <f t="shared" si="339"/>
        <v>2573.9646725618672</v>
      </c>
      <c r="AO545" s="98">
        <f t="shared" si="340"/>
        <v>1.5704078210644894</v>
      </c>
      <c r="AP545" s="168" t="str">
        <f t="shared" si="341"/>
        <v>-0.000275679287073694+0.00709599509735041i</v>
      </c>
      <c r="AQ545" s="98">
        <f t="shared" si="342"/>
        <v>-42.973183907881705</v>
      </c>
      <c r="AR545" s="169">
        <f t="shared" si="343"/>
        <v>92.224821172239729</v>
      </c>
      <c r="AS545" s="168" t="e">
        <f t="shared" si="344"/>
        <v>#DIV/0!</v>
      </c>
      <c r="AT545" s="190" t="e">
        <f t="shared" si="345"/>
        <v>#DIV/0!</v>
      </c>
      <c r="AU545" s="169" t="e">
        <f t="shared" si="346"/>
        <v>#DIV/0!</v>
      </c>
      <c r="AV545" s="225"/>
      <c r="AX545" t="e">
        <f t="shared" si="347"/>
        <v>#DIV/0!</v>
      </c>
      <c r="AY545" t="e">
        <f t="shared" si="348"/>
        <v>#DIV/0!</v>
      </c>
    </row>
    <row r="546" spans="14:51" x14ac:dyDescent="0.25">
      <c r="N546" s="170">
        <v>28</v>
      </c>
      <c r="O546" s="199">
        <f t="shared" si="314"/>
        <v>1905460.7179632513</v>
      </c>
      <c r="P546" s="189" t="str">
        <f t="shared" si="315"/>
        <v>290</v>
      </c>
      <c r="Q546" s="160" t="e">
        <f t="shared" si="316"/>
        <v>#DIV/0!</v>
      </c>
      <c r="R546" s="160" t="e">
        <f t="shared" si="324"/>
        <v>#DIV/0!</v>
      </c>
      <c r="S546" s="160" t="e">
        <f t="shared" si="325"/>
        <v>#DIV/0!</v>
      </c>
      <c r="T546" s="160" t="e">
        <f t="shared" si="317"/>
        <v>#DIV/0!</v>
      </c>
      <c r="U546" s="160" t="e">
        <f t="shared" si="326"/>
        <v>#DIV/0!</v>
      </c>
      <c r="V546" s="160" t="e">
        <f t="shared" si="327"/>
        <v>#DIV/0!</v>
      </c>
      <c r="W546" s="98" t="str">
        <f t="shared" si="318"/>
        <v>1-95.4047659550385i</v>
      </c>
      <c r="X546" s="160">
        <f t="shared" si="328"/>
        <v>95.410006639427891</v>
      </c>
      <c r="Y546" s="160">
        <f t="shared" si="329"/>
        <v>-1.5603150539706816</v>
      </c>
      <c r="Z546" s="98" t="str">
        <f t="shared" si="319"/>
        <v>-74.0161270186169+11.3290800749079i</v>
      </c>
      <c r="AA546" s="160">
        <f t="shared" si="330"/>
        <v>74.878135087485347</v>
      </c>
      <c r="AB546" s="160">
        <f t="shared" si="331"/>
        <v>2.989709126358167</v>
      </c>
      <c r="AC546" s="171" t="e">
        <f t="shared" si="332"/>
        <v>#DIV/0!</v>
      </c>
      <c r="AD546" s="190" t="e">
        <f t="shared" si="333"/>
        <v>#DIV/0!</v>
      </c>
      <c r="AE546" s="169" t="e">
        <f t="shared" si="334"/>
        <v>#DIV/0!</v>
      </c>
      <c r="AF546" s="98" t="str">
        <f t="shared" si="320"/>
        <v>-0.0000182926829268293</v>
      </c>
      <c r="AG546" s="98" t="str">
        <f t="shared" si="321"/>
        <v>0.266025901116354i</v>
      </c>
      <c r="AH546" s="98">
        <f t="shared" si="335"/>
        <v>0.26602590111635399</v>
      </c>
      <c r="AI546" s="98">
        <f t="shared" si="336"/>
        <v>1.5707963267948966</v>
      </c>
      <c r="AJ546" s="98" t="str">
        <f t="shared" si="322"/>
        <v>1+26.0784139904278i</v>
      </c>
      <c r="AK546" s="98">
        <f t="shared" si="337"/>
        <v>26.09757989270539</v>
      </c>
      <c r="AL546" s="98">
        <f t="shared" si="338"/>
        <v>1.5324692147026064</v>
      </c>
      <c r="AM546" s="98" t="str">
        <f t="shared" si="323"/>
        <v>1+2633.91981303321i</v>
      </c>
      <c r="AN546" s="98">
        <f t="shared" si="339"/>
        <v>2633.9200028643431</v>
      </c>
      <c r="AO546" s="98">
        <f t="shared" si="340"/>
        <v>1.5704166645337283</v>
      </c>
      <c r="AP546" s="168" t="str">
        <f t="shared" si="341"/>
        <v>-0.000263289892730894+0.00693494561120612i</v>
      </c>
      <c r="AQ546" s="98">
        <f t="shared" si="342"/>
        <v>-43.172883431573567</v>
      </c>
      <c r="AR546" s="169">
        <f t="shared" si="343"/>
        <v>92.174228718607708</v>
      </c>
      <c r="AS546" s="168" t="e">
        <f t="shared" si="344"/>
        <v>#DIV/0!</v>
      </c>
      <c r="AT546" s="190" t="e">
        <f t="shared" si="345"/>
        <v>#DIV/0!</v>
      </c>
      <c r="AU546" s="169" t="e">
        <f t="shared" si="346"/>
        <v>#DIV/0!</v>
      </c>
      <c r="AV546" s="225"/>
      <c r="AX546" t="e">
        <f t="shared" si="347"/>
        <v>#DIV/0!</v>
      </c>
      <c r="AY546" t="e">
        <f t="shared" si="348"/>
        <v>#DIV/0!</v>
      </c>
    </row>
    <row r="547" spans="14:51" x14ac:dyDescent="0.25">
      <c r="N547" s="170">
        <v>29</v>
      </c>
      <c r="O547" s="199">
        <f t="shared" si="314"/>
        <v>1949844.5997580495</v>
      </c>
      <c r="P547" s="189" t="str">
        <f t="shared" si="315"/>
        <v>290</v>
      </c>
      <c r="Q547" s="160" t="e">
        <f t="shared" si="316"/>
        <v>#DIV/0!</v>
      </c>
      <c r="R547" s="160" t="e">
        <f t="shared" si="324"/>
        <v>#DIV/0!</v>
      </c>
      <c r="S547" s="160" t="e">
        <f t="shared" si="325"/>
        <v>#DIV/0!</v>
      </c>
      <c r="T547" s="160" t="e">
        <f t="shared" si="317"/>
        <v>#DIV/0!</v>
      </c>
      <c r="U547" s="160" t="e">
        <f t="shared" si="326"/>
        <v>#DIV/0!</v>
      </c>
      <c r="V547" s="160" t="e">
        <f t="shared" si="327"/>
        <v>#DIV/0!</v>
      </c>
      <c r="W547" s="98" t="str">
        <f t="shared" si="318"/>
        <v>1-97.6270284319758i</v>
      </c>
      <c r="X547" s="160">
        <f t="shared" si="328"/>
        <v>97.632149830154873</v>
      </c>
      <c r="Y547" s="160">
        <f t="shared" si="329"/>
        <v>-1.560553619987141</v>
      </c>
      <c r="Z547" s="98" t="str">
        <f t="shared" si="319"/>
        <v>-77.5515281654048+11.5929682496407i</v>
      </c>
      <c r="AA547" s="160">
        <f t="shared" si="330"/>
        <v>78.413241443181988</v>
      </c>
      <c r="AB547" s="160">
        <f t="shared" si="331"/>
        <v>2.9932041656151149</v>
      </c>
      <c r="AC547" s="171" t="e">
        <f t="shared" si="332"/>
        <v>#DIV/0!</v>
      </c>
      <c r="AD547" s="190" t="e">
        <f t="shared" si="333"/>
        <v>#DIV/0!</v>
      </c>
      <c r="AE547" s="169" t="e">
        <f t="shared" si="334"/>
        <v>#DIV/0!</v>
      </c>
      <c r="AF547" s="98" t="str">
        <f t="shared" si="320"/>
        <v>-0.0000182926829268293</v>
      </c>
      <c r="AG547" s="98" t="str">
        <f t="shared" si="321"/>
        <v>0.272222440377538i</v>
      </c>
      <c r="AH547" s="98">
        <f t="shared" si="335"/>
        <v>0.27222244037753801</v>
      </c>
      <c r="AI547" s="98">
        <f t="shared" si="336"/>
        <v>1.5707963267948966</v>
      </c>
      <c r="AJ547" s="98" t="str">
        <f t="shared" si="322"/>
        <v>1+26.685858286201i</v>
      </c>
      <c r="AK547" s="98">
        <f t="shared" si="337"/>
        <v>26.704588228826942</v>
      </c>
      <c r="AL547" s="98">
        <f t="shared" si="338"/>
        <v>1.5333408210647055</v>
      </c>
      <c r="AM547" s="98" t="str">
        <f t="shared" si="323"/>
        <v>1+2695.2716869063i</v>
      </c>
      <c r="AN547" s="98">
        <f t="shared" si="339"/>
        <v>2695.2718724163492</v>
      </c>
      <c r="AO547" s="98">
        <f t="shared" si="340"/>
        <v>1.5704253067010883</v>
      </c>
      <c r="AP547" s="168" t="str">
        <f t="shared" si="341"/>
        <v>-0.000251456512297314+0.00677753040920888i</v>
      </c>
      <c r="AQ547" s="98">
        <f t="shared" si="342"/>
        <v>-43.372596459515201</v>
      </c>
      <c r="AR547" s="169">
        <f t="shared" si="343"/>
        <v>92.124784512378255</v>
      </c>
      <c r="AS547" s="168" t="e">
        <f t="shared" si="344"/>
        <v>#DIV/0!</v>
      </c>
      <c r="AT547" s="190" t="e">
        <f t="shared" si="345"/>
        <v>#DIV/0!</v>
      </c>
      <c r="AU547" s="169" t="e">
        <f t="shared" si="346"/>
        <v>#DIV/0!</v>
      </c>
      <c r="AV547" s="225"/>
      <c r="AX547" t="e">
        <f t="shared" si="347"/>
        <v>#DIV/0!</v>
      </c>
      <c r="AY547" t="e">
        <f t="shared" si="348"/>
        <v>#DIV/0!</v>
      </c>
    </row>
    <row r="548" spans="14:51" x14ac:dyDescent="0.25">
      <c r="N548" s="170">
        <v>30</v>
      </c>
      <c r="O548" s="199">
        <f t="shared" si="314"/>
        <v>1995262.31496888</v>
      </c>
      <c r="P548" s="189" t="str">
        <f t="shared" si="315"/>
        <v>290</v>
      </c>
      <c r="Q548" s="160" t="e">
        <f t="shared" si="316"/>
        <v>#DIV/0!</v>
      </c>
      <c r="R548" s="160" t="e">
        <f t="shared" si="324"/>
        <v>#DIV/0!</v>
      </c>
      <c r="S548" s="160" t="e">
        <f t="shared" si="325"/>
        <v>#DIV/0!</v>
      </c>
      <c r="T548" s="160" t="e">
        <f t="shared" si="317"/>
        <v>#DIV/0!</v>
      </c>
      <c r="U548" s="160" t="e">
        <f t="shared" si="326"/>
        <v>#DIV/0!</v>
      </c>
      <c r="V548" s="160" t="e">
        <f t="shared" si="327"/>
        <v>#DIV/0!</v>
      </c>
      <c r="W548" s="98" t="str">
        <f t="shared" si="318"/>
        <v>1-99.9010540516349i</v>
      </c>
      <c r="X548" s="160">
        <f t="shared" si="328"/>
        <v>99.906058878466823</v>
      </c>
      <c r="Y548" s="160">
        <f t="shared" si="329"/>
        <v>-1.5607867567047191</v>
      </c>
      <c r="Z548" s="98" t="str">
        <f t="shared" si="319"/>
        <v>-81.25354763502+11.8630031695906i</v>
      </c>
      <c r="AA548" s="160">
        <f t="shared" si="330"/>
        <v>82.114979434194481</v>
      </c>
      <c r="AB548" s="160">
        <f t="shared" si="331"/>
        <v>2.9966171414811043</v>
      </c>
      <c r="AC548" s="171" t="e">
        <f t="shared" si="332"/>
        <v>#DIV/0!</v>
      </c>
      <c r="AD548" s="190" t="e">
        <f t="shared" si="333"/>
        <v>#DIV/0!</v>
      </c>
      <c r="AE548" s="169" t="e">
        <f t="shared" si="334"/>
        <v>#DIV/0!</v>
      </c>
      <c r="AF548" s="98" t="str">
        <f t="shared" si="320"/>
        <v>-0.0000182926829268293</v>
      </c>
      <c r="AG548" s="98" t="str">
        <f t="shared" si="321"/>
        <v>0.278563315579899i</v>
      </c>
      <c r="AH548" s="98">
        <f t="shared" si="335"/>
        <v>0.278563315579899</v>
      </c>
      <c r="AI548" s="98">
        <f t="shared" si="336"/>
        <v>1.5707963267948966</v>
      </c>
      <c r="AJ548" s="98" t="str">
        <f t="shared" si="322"/>
        <v>1+27.3074517772669i</v>
      </c>
      <c r="AK548" s="98">
        <f t="shared" si="337"/>
        <v>27.325755663252153</v>
      </c>
      <c r="AL548" s="98">
        <f t="shared" si="338"/>
        <v>1.5341926422640733</v>
      </c>
      <c r="AM548" s="98" t="str">
        <f t="shared" si="323"/>
        <v>1+2758.05262950395i</v>
      </c>
      <c r="AN548" s="98">
        <f t="shared" si="339"/>
        <v>2758.0528107912751</v>
      </c>
      <c r="AO548" s="98">
        <f t="shared" si="340"/>
        <v>1.5704337521487559</v>
      </c>
      <c r="AP548" s="168" t="str">
        <f t="shared" si="341"/>
        <v>-0.000240154261578558+0.00662366887092199i</v>
      </c>
      <c r="AQ548" s="98">
        <f t="shared" si="342"/>
        <v>-43.572322385620936</v>
      </c>
      <c r="AR548" s="169">
        <f t="shared" si="343"/>
        <v>92.076462641262154</v>
      </c>
      <c r="AS548" s="168" t="e">
        <f t="shared" si="344"/>
        <v>#DIV/0!</v>
      </c>
      <c r="AT548" s="190" t="e">
        <f t="shared" si="345"/>
        <v>#DIV/0!</v>
      </c>
      <c r="AU548" s="169" t="e">
        <f t="shared" si="346"/>
        <v>#DIV/0!</v>
      </c>
      <c r="AV548" s="225"/>
      <c r="AX548" t="e">
        <f t="shared" si="347"/>
        <v>#DIV/0!</v>
      </c>
      <c r="AY548" t="e">
        <f t="shared" si="348"/>
        <v>#DIV/0!</v>
      </c>
    </row>
    <row r="549" spans="14:51" x14ac:dyDescent="0.25">
      <c r="N549" s="170">
        <v>31</v>
      </c>
      <c r="O549" s="199">
        <f t="shared" si="314"/>
        <v>2041737.9446695296</v>
      </c>
      <c r="P549" s="189" t="str">
        <f t="shared" si="315"/>
        <v>290</v>
      </c>
      <c r="Q549" s="160" t="e">
        <f t="shared" si="316"/>
        <v>#DIV/0!</v>
      </c>
      <c r="R549" s="160" t="e">
        <f t="shared" si="324"/>
        <v>#DIV/0!</v>
      </c>
      <c r="S549" s="160" t="e">
        <f t="shared" si="325"/>
        <v>#DIV/0!</v>
      </c>
      <c r="T549" s="160" t="e">
        <f t="shared" si="317"/>
        <v>#DIV/0!</v>
      </c>
      <c r="U549" s="160" t="e">
        <f t="shared" si="326"/>
        <v>#DIV/0!</v>
      </c>
      <c r="V549" s="160" t="e">
        <f t="shared" si="327"/>
        <v>#DIV/0!</v>
      </c>
      <c r="W549" s="98" t="str">
        <f t="shared" si="318"/>
        <v>1-102.228048532499i</v>
      </c>
      <c r="X549" s="160">
        <f t="shared" si="328"/>
        <v>102.23293944107725</v>
      </c>
      <c r="Y549" s="160">
        <f t="shared" si="329"/>
        <v>-1.5610145876341581</v>
      </c>
      <c r="Z549" s="98" t="str">
        <f t="shared" si="319"/>
        <v>-85.1300379070935+12.1393280108464i</v>
      </c>
      <c r="AA549" s="160">
        <f t="shared" si="330"/>
        <v>85.991200937177837</v>
      </c>
      <c r="AB549" s="160">
        <f t="shared" si="331"/>
        <v>2.9999500878127212</v>
      </c>
      <c r="AC549" s="171" t="e">
        <f t="shared" si="332"/>
        <v>#DIV/0!</v>
      </c>
      <c r="AD549" s="190" t="e">
        <f t="shared" si="333"/>
        <v>#DIV/0!</v>
      </c>
      <c r="AE549" s="169" t="e">
        <f t="shared" si="334"/>
        <v>#DIV/0!</v>
      </c>
      <c r="AF549" s="98" t="str">
        <f t="shared" si="320"/>
        <v>-0.0000182926829268293</v>
      </c>
      <c r="AG549" s="98" t="str">
        <f t="shared" si="321"/>
        <v>0.285051888739403i</v>
      </c>
      <c r="AH549" s="98">
        <f t="shared" si="335"/>
        <v>0.28505188873940301</v>
      </c>
      <c r="AI549" s="98">
        <f t="shared" si="336"/>
        <v>1.5707963267948966</v>
      </c>
      <c r="AJ549" s="98" t="str">
        <f t="shared" si="322"/>
        <v>1+27.9435240407217i</v>
      </c>
      <c r="AK549" s="98">
        <f t="shared" si="337"/>
        <v>27.96141154903292</v>
      </c>
      <c r="AL549" s="98">
        <f t="shared" si="338"/>
        <v>1.5350251250001139</v>
      </c>
      <c r="AM549" s="98" t="str">
        <f t="shared" si="323"/>
        <v>1+2822.29592811289i</v>
      </c>
      <c r="AN549" s="98">
        <f t="shared" si="339"/>
        <v>2822.2961052736123</v>
      </c>
      <c r="AO549" s="98">
        <f t="shared" si="340"/>
        <v>1.5704420053546142</v>
      </c>
      <c r="AP549" s="168" t="str">
        <f t="shared" si="341"/>
        <v>-0.000229359364023577+0.00647328207119606i</v>
      </c>
      <c r="AQ549" s="98">
        <f t="shared" si="342"/>
        <v>-43.772060630933716</v>
      </c>
      <c r="AR549" s="169">
        <f t="shared" si="343"/>
        <v>92.029237767832669</v>
      </c>
      <c r="AS549" s="168" t="e">
        <f t="shared" si="344"/>
        <v>#DIV/0!</v>
      </c>
      <c r="AT549" s="190" t="e">
        <f t="shared" si="345"/>
        <v>#DIV/0!</v>
      </c>
      <c r="AU549" s="169" t="e">
        <f t="shared" si="346"/>
        <v>#DIV/0!</v>
      </c>
      <c r="AV549" s="225"/>
      <c r="AX549" t="e">
        <f t="shared" si="347"/>
        <v>#DIV/0!</v>
      </c>
      <c r="AY549" t="e">
        <f t="shared" si="348"/>
        <v>#DIV/0!</v>
      </c>
    </row>
    <row r="550" spans="14:51" x14ac:dyDescent="0.25">
      <c r="N550" s="170">
        <v>32</v>
      </c>
      <c r="O550" s="199">
        <f t="shared" si="314"/>
        <v>2089296.1308540432</v>
      </c>
      <c r="P550" s="189" t="str">
        <f t="shared" si="315"/>
        <v>290</v>
      </c>
      <c r="Q550" s="160" t="e">
        <f t="shared" si="316"/>
        <v>#DIV/0!</v>
      </c>
      <c r="R550" s="160" t="e">
        <f t="shared" si="324"/>
        <v>#DIV/0!</v>
      </c>
      <c r="S550" s="160" t="e">
        <f t="shared" si="325"/>
        <v>#DIV/0!</v>
      </c>
      <c r="T550" s="160" t="e">
        <f t="shared" si="317"/>
        <v>#DIV/0!</v>
      </c>
      <c r="U550" s="160" t="e">
        <f t="shared" si="326"/>
        <v>#DIV/0!</v>
      </c>
      <c r="V550" s="160" t="e">
        <f t="shared" si="327"/>
        <v>#DIV/0!</v>
      </c>
      <c r="W550" s="98" t="str">
        <f t="shared" si="318"/>
        <v>1-104.609245677843i</v>
      </c>
      <c r="X550" s="160">
        <f t="shared" si="328"/>
        <v>104.61402526089567</v>
      </c>
      <c r="Y550" s="160">
        <f t="shared" si="329"/>
        <v>-1.5612372334797706</v>
      </c>
      <c r="Z550" s="98" t="str">
        <f t="shared" si="319"/>
        <v>-89.1892215372249+12.4220892844967i</v>
      </c>
      <c r="AA550" s="160">
        <f t="shared" si="330"/>
        <v>90.050127932214465</v>
      </c>
      <c r="AB550" s="160">
        <f t="shared" si="331"/>
        <v>3.0032049812604917</v>
      </c>
      <c r="AC550" s="171" t="e">
        <f t="shared" si="332"/>
        <v>#DIV/0!</v>
      </c>
      <c r="AD550" s="190" t="e">
        <f t="shared" si="333"/>
        <v>#DIV/0!</v>
      </c>
      <c r="AE550" s="169" t="e">
        <f t="shared" si="334"/>
        <v>#DIV/0!</v>
      </c>
      <c r="AF550" s="98" t="str">
        <f t="shared" si="320"/>
        <v>-0.0000182926829268293</v>
      </c>
      <c r="AG550" s="98" t="str">
        <f t="shared" si="321"/>
        <v>0.291691600183425i</v>
      </c>
      <c r="AH550" s="98">
        <f t="shared" si="335"/>
        <v>0.29169160018342499</v>
      </c>
      <c r="AI550" s="98">
        <f t="shared" si="336"/>
        <v>1.5707963267948966</v>
      </c>
      <c r="AJ550" s="98" t="str">
        <f t="shared" si="322"/>
        <v>1+28.5944123304995i</v>
      </c>
      <c r="AK550" s="98">
        <f t="shared" si="337"/>
        <v>28.611892921067316</v>
      </c>
      <c r="AL550" s="98">
        <f t="shared" si="338"/>
        <v>1.5358387060480914</v>
      </c>
      <c r="AM550" s="98" t="str">
        <f t="shared" si="323"/>
        <v>1+2888.03564538044i</v>
      </c>
      <c r="AN550" s="98">
        <f t="shared" si="339"/>
        <v>2888.0358185084924</v>
      </c>
      <c r="AO550" s="98">
        <f t="shared" si="340"/>
        <v>1.5704500706946178</v>
      </c>
      <c r="AP550" s="168" t="str">
        <f t="shared" si="341"/>
        <v>-0.000219049101952579+0.00632629275083798i</v>
      </c>
      <c r="AQ550" s="98">
        <f t="shared" si="342"/>
        <v>-43.971810642417168</v>
      </c>
      <c r="AR550" s="169">
        <f t="shared" si="343"/>
        <v>91.983085117434271</v>
      </c>
      <c r="AS550" s="168" t="e">
        <f t="shared" si="344"/>
        <v>#DIV/0!</v>
      </c>
      <c r="AT550" s="190" t="e">
        <f t="shared" si="345"/>
        <v>#DIV/0!</v>
      </c>
      <c r="AU550" s="169" t="e">
        <f t="shared" si="346"/>
        <v>#DIV/0!</v>
      </c>
      <c r="AV550" s="225"/>
      <c r="AX550" t="e">
        <f t="shared" si="347"/>
        <v>#DIV/0!</v>
      </c>
      <c r="AY550" t="e">
        <f t="shared" si="348"/>
        <v>#DIV/0!</v>
      </c>
    </row>
    <row r="551" spans="14:51" x14ac:dyDescent="0.25">
      <c r="N551" s="170">
        <v>33</v>
      </c>
      <c r="O551" s="199">
        <f t="shared" si="314"/>
        <v>2137962.0895022359</v>
      </c>
      <c r="P551" s="189" t="str">
        <f t="shared" si="315"/>
        <v>290</v>
      </c>
      <c r="Q551" s="160" t="e">
        <f t="shared" si="316"/>
        <v>#DIV/0!</v>
      </c>
      <c r="R551" s="160" t="e">
        <f t="shared" si="324"/>
        <v>#DIV/0!</v>
      </c>
      <c r="S551" s="160" t="e">
        <f t="shared" si="325"/>
        <v>#DIV/0!</v>
      </c>
      <c r="T551" s="160" t="e">
        <f t="shared" si="317"/>
        <v>#DIV/0!</v>
      </c>
      <c r="U551" s="160" t="e">
        <f t="shared" si="326"/>
        <v>#DIV/0!</v>
      </c>
      <c r="V551" s="160" t="e">
        <f t="shared" si="327"/>
        <v>#DIV/0!</v>
      </c>
      <c r="W551" s="98" t="str">
        <f t="shared" si="318"/>
        <v>1-107.045908029912i</v>
      </c>
      <c r="X551" s="160">
        <f t="shared" si="328"/>
        <v>107.05057882117394</v>
      </c>
      <c r="Y551" s="160">
        <f t="shared" si="329"/>
        <v>-1.5614548122029852</v>
      </c>
      <c r="Z551" s="98" t="str">
        <f t="shared" si="319"/>
        <v>-93.4397085981149+12.7114369143113i</v>
      </c>
      <c r="AA551" s="160">
        <f t="shared" si="330"/>
        <v>94.300369942684455</v>
      </c>
      <c r="AB551" s="160">
        <f t="shared" si="331"/>
        <v>3.0063837432810354</v>
      </c>
      <c r="AC551" s="171" t="e">
        <f t="shared" si="332"/>
        <v>#DIV/0!</v>
      </c>
      <c r="AD551" s="190" t="e">
        <f t="shared" si="333"/>
        <v>#DIV/0!</v>
      </c>
      <c r="AE551" s="169" t="e">
        <f t="shared" si="334"/>
        <v>#DIV/0!</v>
      </c>
      <c r="AF551" s="98" t="str">
        <f t="shared" si="320"/>
        <v>-0.0000182926829268293</v>
      </c>
      <c r="AG551" s="98" t="str">
        <f t="shared" si="321"/>
        <v>0.298485970374858i</v>
      </c>
      <c r="AH551" s="98">
        <f t="shared" si="335"/>
        <v>0.29848597037485802</v>
      </c>
      <c r="AI551" s="98">
        <f t="shared" si="336"/>
        <v>1.5707963267948966</v>
      </c>
      <c r="AJ551" s="98" t="str">
        <f t="shared" si="322"/>
        <v>1+29.2604617561864i</v>
      </c>
      <c r="AK551" s="98">
        <f t="shared" si="337"/>
        <v>29.27754467480576</v>
      </c>
      <c r="AL551" s="98">
        <f t="shared" si="338"/>
        <v>1.5366338124688179</v>
      </c>
      <c r="AM551" s="98" t="str">
        <f t="shared" si="323"/>
        <v>1+2955.30663737483i</v>
      </c>
      <c r="AN551" s="98">
        <f t="shared" si="339"/>
        <v>2955.3068065620064</v>
      </c>
      <c r="AO551" s="98">
        <f t="shared" si="340"/>
        <v>1.5704579524451125</v>
      </c>
      <c r="AP551" s="168" t="str">
        <f t="shared" si="341"/>
        <v>-0.000209201769885679+0.0061826252873378i</v>
      </c>
      <c r="AQ551" s="98">
        <f t="shared" si="342"/>
        <v>-44.171571891800838</v>
      </c>
      <c r="AR551" s="169">
        <f t="shared" si="343"/>
        <v>91.937980466301411</v>
      </c>
      <c r="AS551" s="168" t="e">
        <f t="shared" si="344"/>
        <v>#DIV/0!</v>
      </c>
      <c r="AT551" s="190" t="e">
        <f t="shared" si="345"/>
        <v>#DIV/0!</v>
      </c>
      <c r="AU551" s="169" t="e">
        <f t="shared" si="346"/>
        <v>#DIV/0!</v>
      </c>
      <c r="AV551" s="225"/>
      <c r="AX551" t="e">
        <f t="shared" si="347"/>
        <v>#DIV/0!</v>
      </c>
      <c r="AY551" t="e">
        <f t="shared" si="348"/>
        <v>#DIV/0!</v>
      </c>
    </row>
    <row r="552" spans="14:51" x14ac:dyDescent="0.25">
      <c r="N552" s="170">
        <v>34</v>
      </c>
      <c r="O552" s="199">
        <f t="shared" si="314"/>
        <v>2187761.6239495561</v>
      </c>
      <c r="P552" s="189" t="str">
        <f t="shared" si="315"/>
        <v>290</v>
      </c>
      <c r="Q552" s="160" t="e">
        <f t="shared" si="316"/>
        <v>#DIV/0!</v>
      </c>
      <c r="R552" s="160" t="e">
        <f t="shared" si="324"/>
        <v>#DIV/0!</v>
      </c>
      <c r="S552" s="160" t="e">
        <f t="shared" si="325"/>
        <v>#DIV/0!</v>
      </c>
      <c r="T552" s="160" t="e">
        <f t="shared" si="317"/>
        <v>#DIV/0!</v>
      </c>
      <c r="U552" s="160" t="e">
        <f t="shared" si="326"/>
        <v>#DIV/0!</v>
      </c>
      <c r="V552" s="160" t="e">
        <f t="shared" si="327"/>
        <v>#DIV/0!</v>
      </c>
      <c r="W552" s="98" t="str">
        <f t="shared" si="318"/>
        <v>1-109.53932753934i</v>
      </c>
      <c r="X552" s="160">
        <f t="shared" si="328"/>
        <v>109.54389201489424</v>
      </c>
      <c r="Y552" s="160">
        <f t="shared" si="329"/>
        <v>-1.561667439084472</v>
      </c>
      <c r="Z552" s="98" t="str">
        <f t="shared" si="319"/>
        <v>-97.890514942694+13.0075243162336i</v>
      </c>
      <c r="AA552" s="160">
        <f t="shared" si="330"/>
        <v>98.750942297191287</v>
      </c>
      <c r="AB552" s="160">
        <f t="shared" si="331"/>
        <v>3.0094882420581195</v>
      </c>
      <c r="AC552" s="171" t="e">
        <f t="shared" si="332"/>
        <v>#DIV/0!</v>
      </c>
      <c r="AD552" s="190" t="e">
        <f t="shared" si="333"/>
        <v>#DIV/0!</v>
      </c>
      <c r="AE552" s="169" t="e">
        <f t="shared" si="334"/>
        <v>#DIV/0!</v>
      </c>
      <c r="AF552" s="98" t="str">
        <f t="shared" si="320"/>
        <v>-0.0000182926829268293</v>
      </c>
      <c r="AG552" s="98" t="str">
        <f t="shared" si="321"/>
        <v>0.305438601778713i</v>
      </c>
      <c r="AH552" s="98">
        <f t="shared" si="335"/>
        <v>0.30543860177871301</v>
      </c>
      <c r="AI552" s="98">
        <f t="shared" si="336"/>
        <v>1.5707963267948966</v>
      </c>
      <c r="AJ552" s="98" t="str">
        <f t="shared" si="322"/>
        <v>1+29.9420254660046i</v>
      </c>
      <c r="AK552" s="98">
        <f t="shared" si="337"/>
        <v>29.958719749129273</v>
      </c>
      <c r="AL552" s="98">
        <f t="shared" si="338"/>
        <v>1.5374108618146523</v>
      </c>
      <c r="AM552" s="98" t="str">
        <f t="shared" si="323"/>
        <v>1+3024.14457206646i</v>
      </c>
      <c r="AN552" s="98">
        <f t="shared" si="339"/>
        <v>3024.1447374024669</v>
      </c>
      <c r="AO552" s="98">
        <f t="shared" si="340"/>
        <v>1.5704656547851028</v>
      </c>
      <c r="AP552" s="168" t="str">
        <f t="shared" si="341"/>
        <v>-0.000199796629885848+0.00604220566569171i</v>
      </c>
      <c r="AQ552" s="98">
        <f t="shared" si="342"/>
        <v>-44.371343874476992</v>
      </c>
      <c r="AR552" s="169">
        <f t="shared" si="343"/>
        <v>91.893900129885523</v>
      </c>
      <c r="AS552" s="168" t="e">
        <f t="shared" si="344"/>
        <v>#DIV/0!</v>
      </c>
      <c r="AT552" s="190" t="e">
        <f t="shared" si="345"/>
        <v>#DIV/0!</v>
      </c>
      <c r="AU552" s="169" t="e">
        <f t="shared" si="346"/>
        <v>#DIV/0!</v>
      </c>
      <c r="AV552" s="225"/>
      <c r="AX552" t="e">
        <f t="shared" si="347"/>
        <v>#DIV/0!</v>
      </c>
      <c r="AY552" t="e">
        <f t="shared" si="348"/>
        <v>#DIV/0!</v>
      </c>
    </row>
    <row r="553" spans="14:51" x14ac:dyDescent="0.25">
      <c r="N553" s="170">
        <v>35</v>
      </c>
      <c r="O553" s="199">
        <f t="shared" si="314"/>
        <v>2238721.1385683389</v>
      </c>
      <c r="P553" s="189" t="str">
        <f t="shared" si="315"/>
        <v>290</v>
      </c>
      <c r="Q553" s="160" t="e">
        <f t="shared" si="316"/>
        <v>#DIV/0!</v>
      </c>
      <c r="R553" s="160" t="e">
        <f t="shared" si="324"/>
        <v>#DIV/0!</v>
      </c>
      <c r="S553" s="160" t="e">
        <f t="shared" si="325"/>
        <v>#DIV/0!</v>
      </c>
      <c r="T553" s="160" t="e">
        <f t="shared" si="317"/>
        <v>#DIV/0!</v>
      </c>
      <c r="U553" s="160" t="e">
        <f t="shared" si="326"/>
        <v>#DIV/0!</v>
      </c>
      <c r="V553" s="160" t="e">
        <f t="shared" si="327"/>
        <v>#DIV/0!</v>
      </c>
      <c r="W553" s="98" t="str">
        <f t="shared" si="318"/>
        <v>1-112.090826250152i</v>
      </c>
      <c r="X553" s="160">
        <f t="shared" si="328"/>
        <v>112.09528682974036</v>
      </c>
      <c r="Y553" s="160">
        <f t="shared" si="329"/>
        <v>-1.5618752267848701</v>
      </c>
      <c r="Z553" s="98" t="str">
        <f t="shared" si="319"/>
        <v>-102.551081327948+13.3105084797233i</v>
      </c>
      <c r="AA553" s="160">
        <f t="shared" si="330"/>
        <v>103.41128525224019</v>
      </c>
      <c r="AB553" s="160">
        <f t="shared" si="331"/>
        <v>3.0125202943374543</v>
      </c>
      <c r="AC553" s="171" t="e">
        <f t="shared" si="332"/>
        <v>#DIV/0!</v>
      </c>
      <c r="AD553" s="190" t="e">
        <f t="shared" si="333"/>
        <v>#DIV/0!</v>
      </c>
      <c r="AE553" s="169" t="e">
        <f t="shared" si="334"/>
        <v>#DIV/0!</v>
      </c>
      <c r="AF553" s="98" t="str">
        <f t="shared" si="320"/>
        <v>-0.0000182926829268293</v>
      </c>
      <c r="AG553" s="98" t="str">
        <f t="shared" si="321"/>
        <v>0.312553180772188i</v>
      </c>
      <c r="AH553" s="98">
        <f t="shared" si="335"/>
        <v>0.31255318077218802</v>
      </c>
      <c r="AI553" s="98">
        <f t="shared" si="336"/>
        <v>1.5707963267948966</v>
      </c>
      <c r="AJ553" s="98" t="str">
        <f t="shared" si="322"/>
        <v>1+30.6394648340542i</v>
      </c>
      <c r="AK553" s="98">
        <f t="shared" si="337"/>
        <v>30.655779313487429</v>
      </c>
      <c r="AL553" s="98">
        <f t="shared" si="338"/>
        <v>1.5381702623318028</v>
      </c>
      <c r="AM553" s="98" t="str">
        <f t="shared" si="323"/>
        <v>1+3094.58594823947i</v>
      </c>
      <c r="AN553" s="98">
        <f t="shared" si="339"/>
        <v>3094.5861098119694</v>
      </c>
      <c r="AO553" s="98">
        <f t="shared" si="340"/>
        <v>1.5704731817984678</v>
      </c>
      <c r="AP553" s="168" t="str">
        <f t="shared" si="341"/>
        <v>-0.000190813868833149+0.00590496144935736i</v>
      </c>
      <c r="AQ553" s="98">
        <f t="shared" si="342"/>
        <v>-44.571126108444943</v>
      </c>
      <c r="AR553" s="169">
        <f t="shared" si="343"/>
        <v>91.850820951390887</v>
      </c>
      <c r="AS553" s="168" t="e">
        <f t="shared" si="344"/>
        <v>#DIV/0!</v>
      </c>
      <c r="AT553" s="190" t="e">
        <f t="shared" si="345"/>
        <v>#DIV/0!</v>
      </c>
      <c r="AU553" s="169" t="e">
        <f t="shared" si="346"/>
        <v>#DIV/0!</v>
      </c>
      <c r="AV553" s="225"/>
      <c r="AX553" t="e">
        <f t="shared" si="347"/>
        <v>#DIV/0!</v>
      </c>
      <c r="AY553" t="e">
        <f t="shared" si="348"/>
        <v>#DIV/0!</v>
      </c>
    </row>
    <row r="554" spans="14:51" x14ac:dyDescent="0.25">
      <c r="N554" s="170">
        <v>36</v>
      </c>
      <c r="O554" s="199">
        <f t="shared" si="314"/>
        <v>2290867.6527677765</v>
      </c>
      <c r="P554" s="189" t="str">
        <f t="shared" si="315"/>
        <v>290</v>
      </c>
      <c r="Q554" s="160" t="e">
        <f t="shared" si="316"/>
        <v>#DIV/0!</v>
      </c>
      <c r="R554" s="160" t="e">
        <f t="shared" si="324"/>
        <v>#DIV/0!</v>
      </c>
      <c r="S554" s="160" t="e">
        <f t="shared" si="325"/>
        <v>#DIV/0!</v>
      </c>
      <c r="T554" s="160" t="e">
        <f t="shared" si="317"/>
        <v>#DIV/0!</v>
      </c>
      <c r="U554" s="160" t="e">
        <f t="shared" si="326"/>
        <v>#DIV/0!</v>
      </c>
      <c r="V554" s="160" t="e">
        <f t="shared" si="327"/>
        <v>#DIV/0!</v>
      </c>
      <c r="W554" s="98" t="str">
        <f t="shared" si="318"/>
        <v>1-114.701757000741i</v>
      </c>
      <c r="X554" s="160">
        <f t="shared" si="328"/>
        <v>114.70611604904525</v>
      </c>
      <c r="Y554" s="160">
        <f t="shared" si="329"/>
        <v>-1.5620782854041566</v>
      </c>
      <c r="Z554" s="98" t="str">
        <f t="shared" si="319"/>
        <v>-107.431293440037+13.6205500509945i</v>
      </c>
      <c r="AA554" s="160">
        <f t="shared" si="330"/>
        <v>108.29128401626321</v>
      </c>
      <c r="AB554" s="160">
        <f t="shared" si="331"/>
        <v>3.0154816671798264</v>
      </c>
      <c r="AC554" s="171" t="e">
        <f t="shared" si="332"/>
        <v>#DIV/0!</v>
      </c>
      <c r="AD554" s="190" t="e">
        <f t="shared" si="333"/>
        <v>#DIV/0!</v>
      </c>
      <c r="AE554" s="169" t="e">
        <f t="shared" si="334"/>
        <v>#DIV/0!</v>
      </c>
      <c r="AF554" s="98" t="str">
        <f t="shared" si="320"/>
        <v>-0.0000182926829268293</v>
      </c>
      <c r="AG554" s="98" t="str">
        <f t="shared" si="321"/>
        <v>0.319833479599241i</v>
      </c>
      <c r="AH554" s="98">
        <f t="shared" si="335"/>
        <v>0.31983347959924102</v>
      </c>
      <c r="AI554" s="98">
        <f t="shared" si="336"/>
        <v>1.5707963267948966</v>
      </c>
      <c r="AJ554" s="98" t="str">
        <f t="shared" si="322"/>
        <v>1+31.3531496519205i</v>
      </c>
      <c r="AK554" s="98">
        <f t="shared" si="337"/>
        <v>31.369092959403886</v>
      </c>
      <c r="AL554" s="98">
        <f t="shared" si="338"/>
        <v>1.5389124131589695</v>
      </c>
      <c r="AM554" s="98" t="str">
        <f t="shared" si="323"/>
        <v>1+3166.66811484397i</v>
      </c>
      <c r="AN554" s="98">
        <f t="shared" si="339"/>
        <v>3166.668272738631</v>
      </c>
      <c r="AO554" s="98">
        <f t="shared" si="340"/>
        <v>1.5704805374761261</v>
      </c>
      <c r="AP554" s="168" t="str">
        <f t="shared" si="341"/>
        <v>-0.000182234557550089+0.00577082175137167i</v>
      </c>
      <c r="AQ554" s="98">
        <f t="shared" si="342"/>
        <v>-44.770918133303212</v>
      </c>
      <c r="AR554" s="169">
        <f t="shared" si="343"/>
        <v>91.808720290517371</v>
      </c>
      <c r="AS554" s="168" t="e">
        <f t="shared" si="344"/>
        <v>#DIV/0!</v>
      </c>
      <c r="AT554" s="190" t="e">
        <f t="shared" si="345"/>
        <v>#DIV/0!</v>
      </c>
      <c r="AU554" s="169" t="e">
        <f t="shared" si="346"/>
        <v>#DIV/0!</v>
      </c>
      <c r="AV554" s="225"/>
      <c r="AX554" t="e">
        <f t="shared" si="347"/>
        <v>#DIV/0!</v>
      </c>
      <c r="AY554" t="e">
        <f t="shared" si="348"/>
        <v>#DIV/0!</v>
      </c>
    </row>
    <row r="555" spans="14:51" x14ac:dyDescent="0.25">
      <c r="N555" s="170">
        <v>37</v>
      </c>
      <c r="O555" s="199">
        <f t="shared" si="314"/>
        <v>2344228.8153199251</v>
      </c>
      <c r="P555" s="189" t="str">
        <f t="shared" si="315"/>
        <v>290</v>
      </c>
      <c r="Q555" s="160" t="e">
        <f t="shared" si="316"/>
        <v>#DIV/0!</v>
      </c>
      <c r="R555" s="160" t="e">
        <f t="shared" si="324"/>
        <v>#DIV/0!</v>
      </c>
      <c r="S555" s="160" t="e">
        <f t="shared" si="325"/>
        <v>#DIV/0!</v>
      </c>
      <c r="T555" s="160" t="e">
        <f t="shared" si="317"/>
        <v>#DIV/0!</v>
      </c>
      <c r="U555" s="160" t="e">
        <f t="shared" si="326"/>
        <v>#DIV/0!</v>
      </c>
      <c r="V555" s="160" t="e">
        <f t="shared" si="327"/>
        <v>#DIV/0!</v>
      </c>
      <c r="W555" s="98" t="str">
        <f t="shared" si="318"/>
        <v>1-117.373504141148i</v>
      </c>
      <c r="X555" s="160">
        <f t="shared" si="328"/>
        <v>117.37776396904181</v>
      </c>
      <c r="Y555" s="160">
        <f t="shared" si="329"/>
        <v>-1.5622767225396792</v>
      </c>
      <c r="Z555" s="98" t="str">
        <f t="shared" si="319"/>
        <v>-112.541502863147+13.937813418192i</v>
      </c>
      <c r="AA555" s="160">
        <f t="shared" si="330"/>
        <v>113.40128971742809</v>
      </c>
      <c r="AB555" s="160">
        <f t="shared" si="331"/>
        <v>3.0183740796368888</v>
      </c>
      <c r="AC555" s="171" t="e">
        <f t="shared" si="332"/>
        <v>#DIV/0!</v>
      </c>
      <c r="AD555" s="190" t="e">
        <f t="shared" si="333"/>
        <v>#DIV/0!</v>
      </c>
      <c r="AE555" s="169" t="e">
        <f t="shared" si="334"/>
        <v>#DIV/0!</v>
      </c>
      <c r="AF555" s="98" t="str">
        <f t="shared" si="320"/>
        <v>-0.0000182926829268293</v>
      </c>
      <c r="AG555" s="98" t="str">
        <f t="shared" si="321"/>
        <v>0.327283358370672i</v>
      </c>
      <c r="AH555" s="98">
        <f t="shared" si="335"/>
        <v>0.32728335837067202</v>
      </c>
      <c r="AI555" s="98">
        <f t="shared" si="336"/>
        <v>1.5707963267948966</v>
      </c>
      <c r="AJ555" s="98" t="str">
        <f t="shared" si="322"/>
        <v>1+32.08345832474i</v>
      </c>
      <c r="AK555" s="98">
        <f t="shared" si="337"/>
        <v>32.099038896442501</v>
      </c>
      <c r="AL555" s="98">
        <f t="shared" si="338"/>
        <v>1.5396377045223328</v>
      </c>
      <c r="AM555" s="98" t="str">
        <f t="shared" si="323"/>
        <v>1+3240.42929079874i</v>
      </c>
      <c r="AN555" s="98">
        <f t="shared" si="339"/>
        <v>3240.4294450992793</v>
      </c>
      <c r="AO555" s="98">
        <f t="shared" si="340"/>
        <v>1.570487725718152</v>
      </c>
      <c r="AP555" s="168" t="str">
        <f t="shared" si="341"/>
        <v>-0.000174040611701124+0.00563971720566162i</v>
      </c>
      <c r="AQ555" s="98">
        <f t="shared" si="342"/>
        <v>-44.97071950928521</v>
      </c>
      <c r="AR555" s="169">
        <f t="shared" si="343"/>
        <v>91.767576012409563</v>
      </c>
      <c r="AS555" s="168" t="e">
        <f t="shared" si="344"/>
        <v>#DIV/0!</v>
      </c>
      <c r="AT555" s="190" t="e">
        <f t="shared" si="345"/>
        <v>#DIV/0!</v>
      </c>
      <c r="AU555" s="169" t="e">
        <f t="shared" si="346"/>
        <v>#DIV/0!</v>
      </c>
      <c r="AV555" s="225"/>
      <c r="AX555" t="e">
        <f t="shared" si="347"/>
        <v>#DIV/0!</v>
      </c>
      <c r="AY555" t="e">
        <f t="shared" si="348"/>
        <v>#DIV/0!</v>
      </c>
    </row>
    <row r="556" spans="14:51" x14ac:dyDescent="0.25">
      <c r="N556" s="170">
        <v>38</v>
      </c>
      <c r="O556" s="199">
        <f t="shared" si="314"/>
        <v>2398832.9190194933</v>
      </c>
      <c r="P556" s="189" t="str">
        <f t="shared" si="315"/>
        <v>290</v>
      </c>
      <c r="Q556" s="160" t="e">
        <f t="shared" si="316"/>
        <v>#DIV/0!</v>
      </c>
      <c r="R556" s="160" t="e">
        <f t="shared" si="324"/>
        <v>#DIV/0!</v>
      </c>
      <c r="S556" s="160" t="e">
        <f t="shared" si="325"/>
        <v>#DIV/0!</v>
      </c>
      <c r="T556" s="160" t="e">
        <f t="shared" si="317"/>
        <v>#DIV/0!</v>
      </c>
      <c r="U556" s="160" t="e">
        <f t="shared" si="326"/>
        <v>#DIV/0!</v>
      </c>
      <c r="V556" s="160" t="e">
        <f t="shared" si="327"/>
        <v>#DIV/0!</v>
      </c>
      <c r="W556" s="98" t="str">
        <f t="shared" si="318"/>
        <v>1-120.107484267073i</v>
      </c>
      <c r="X556" s="160">
        <f t="shared" si="328"/>
        <v>120.11164713284549</v>
      </c>
      <c r="Y556" s="160">
        <f t="shared" si="329"/>
        <v>-1.5624706433428868</v>
      </c>
      <c r="Z556" s="98" t="str">
        <f t="shared" si="319"/>
        <v>-117.892549036603+14.2624667985525i</v>
      </c>
      <c r="AA556" s="160">
        <f t="shared" si="330"/>
        <v>118.75214135975679</v>
      </c>
      <c r="AB556" s="160">
        <f t="shared" si="331"/>
        <v>3.0211992043537328</v>
      </c>
      <c r="AC556" s="171" t="e">
        <f t="shared" si="332"/>
        <v>#DIV/0!</v>
      </c>
      <c r="AD556" s="190" t="e">
        <f t="shared" si="333"/>
        <v>#DIV/0!</v>
      </c>
      <c r="AE556" s="169" t="e">
        <f t="shared" si="334"/>
        <v>#DIV/0!</v>
      </c>
      <c r="AF556" s="98" t="str">
        <f t="shared" si="320"/>
        <v>-0.0000182926829268293</v>
      </c>
      <c r="AG556" s="98" t="str">
        <f t="shared" si="321"/>
        <v>0.33490676711082i</v>
      </c>
      <c r="AH556" s="98">
        <f t="shared" si="335"/>
        <v>0.33490676711082001</v>
      </c>
      <c r="AI556" s="98">
        <f t="shared" si="336"/>
        <v>1.5707963267948966</v>
      </c>
      <c r="AJ556" s="98" t="str">
        <f t="shared" si="322"/>
        <v>1+32.830778071838i</v>
      </c>
      <c r="AK556" s="98">
        <f t="shared" si="337"/>
        <v>32.846004152747078</v>
      </c>
      <c r="AL556" s="98">
        <f t="shared" si="338"/>
        <v>1.5403465179269265</v>
      </c>
      <c r="AM556" s="98" t="str">
        <f t="shared" si="323"/>
        <v>1+3315.90858525564i</v>
      </c>
      <c r="AN556" s="98">
        <f t="shared" si="339"/>
        <v>3315.9087360438702</v>
      </c>
      <c r="AO556" s="98">
        <f t="shared" si="340"/>
        <v>1.570494750335844</v>
      </c>
      <c r="AP556" s="168" t="str">
        <f t="shared" si="341"/>
        <v>-0.000166214754392106+0.0055115799385726i</v>
      </c>
      <c r="AQ556" s="98">
        <f t="shared" si="342"/>
        <v>-45.170529816338671</v>
      </c>
      <c r="AR556" s="169">
        <f t="shared" si="343"/>
        <v>91.727366476810502</v>
      </c>
      <c r="AS556" s="168" t="e">
        <f t="shared" si="344"/>
        <v>#DIV/0!</v>
      </c>
      <c r="AT556" s="190" t="e">
        <f t="shared" si="345"/>
        <v>#DIV/0!</v>
      </c>
      <c r="AU556" s="169" t="e">
        <f t="shared" si="346"/>
        <v>#DIV/0!</v>
      </c>
      <c r="AV556" s="225"/>
      <c r="AX556" t="e">
        <f t="shared" si="347"/>
        <v>#DIV/0!</v>
      </c>
      <c r="AY556" t="e">
        <f t="shared" si="348"/>
        <v>#DIV/0!</v>
      </c>
    </row>
    <row r="557" spans="14:51" x14ac:dyDescent="0.25">
      <c r="N557" s="170">
        <v>39</v>
      </c>
      <c r="O557" s="199">
        <f t="shared" si="314"/>
        <v>2454708.915685033</v>
      </c>
      <c r="P557" s="189" t="str">
        <f t="shared" si="315"/>
        <v>290</v>
      </c>
      <c r="Q557" s="160" t="e">
        <f t="shared" si="316"/>
        <v>#DIV/0!</v>
      </c>
      <c r="R557" s="160" t="e">
        <f t="shared" si="324"/>
        <v>#DIV/0!</v>
      </c>
      <c r="S557" s="160" t="e">
        <f t="shared" si="325"/>
        <v>#DIV/0!</v>
      </c>
      <c r="T557" s="160" t="e">
        <f t="shared" si="317"/>
        <v>#DIV/0!</v>
      </c>
      <c r="U557" s="160" t="e">
        <f t="shared" si="326"/>
        <v>#DIV/0!</v>
      </c>
      <c r="V557" s="160" t="e">
        <f t="shared" si="327"/>
        <v>#DIV/0!</v>
      </c>
      <c r="W557" s="98" t="str">
        <f t="shared" si="318"/>
        <v>1-122.905146970966i</v>
      </c>
      <c r="X557" s="160">
        <f t="shared" si="328"/>
        <v>122.90921508151762</v>
      </c>
      <c r="Y557" s="160">
        <f t="shared" si="329"/>
        <v>-1.5626601505747826</v>
      </c>
      <c r="Z557" s="98" t="str">
        <f t="shared" si="319"/>
        <v>-123.495782246768+14.5946823275956i</v>
      </c>
      <c r="AA557" s="160">
        <f t="shared" si="330"/>
        <v>124.35518881407633</v>
      </c>
      <c r="AB557" s="160">
        <f t="shared" si="331"/>
        <v>3.0239586691020692</v>
      </c>
      <c r="AC557" s="171" t="e">
        <f t="shared" si="332"/>
        <v>#DIV/0!</v>
      </c>
      <c r="AD557" s="190" t="e">
        <f t="shared" si="333"/>
        <v>#DIV/0!</v>
      </c>
      <c r="AE557" s="169" t="e">
        <f t="shared" si="334"/>
        <v>#DIV/0!</v>
      </c>
      <c r="AF557" s="98" t="str">
        <f t="shared" si="320"/>
        <v>-0.0000182926829268293</v>
      </c>
      <c r="AG557" s="98" t="str">
        <f t="shared" si="321"/>
        <v>0.342707747851904i</v>
      </c>
      <c r="AH557" s="98">
        <f t="shared" si="335"/>
        <v>0.342707747851904</v>
      </c>
      <c r="AI557" s="98">
        <f t="shared" si="336"/>
        <v>1.5707963267948966</v>
      </c>
      <c r="AJ557" s="98" t="str">
        <f t="shared" si="322"/>
        <v>1+33.5955051320364i</v>
      </c>
      <c r="AK557" s="98">
        <f t="shared" si="337"/>
        <v>33.61038478025332</v>
      </c>
      <c r="AL557" s="98">
        <f t="shared" si="338"/>
        <v>1.5410392263444141</v>
      </c>
      <c r="AM557" s="98" t="str">
        <f t="shared" si="323"/>
        <v>1+3393.14601833567i</v>
      </c>
      <c r="AN557" s="98">
        <f t="shared" si="339"/>
        <v>3393.1461656915412</v>
      </c>
      <c r="AO557" s="98">
        <f t="shared" si="340"/>
        <v>1.5705016150537441</v>
      </c>
      <c r="AP557" s="168" t="str">
        <f t="shared" si="341"/>
        <v>-0.000158740480398478+0.00538634354063948i</v>
      </c>
      <c r="AQ557" s="98">
        <f t="shared" si="342"/>
        <v>-45.370348653244712</v>
      </c>
      <c r="AR557" s="169">
        <f t="shared" si="343"/>
        <v>91.688070527418475</v>
      </c>
      <c r="AS557" s="168" t="e">
        <f t="shared" si="344"/>
        <v>#DIV/0!</v>
      </c>
      <c r="AT557" s="190" t="e">
        <f t="shared" si="345"/>
        <v>#DIV/0!</v>
      </c>
      <c r="AU557" s="169" t="e">
        <f t="shared" si="346"/>
        <v>#DIV/0!</v>
      </c>
      <c r="AV557" s="225"/>
      <c r="AX557" t="e">
        <f t="shared" si="347"/>
        <v>#DIV/0!</v>
      </c>
      <c r="AY557" t="e">
        <f t="shared" si="348"/>
        <v>#DIV/0!</v>
      </c>
    </row>
    <row r="558" spans="14:51" x14ac:dyDescent="0.25">
      <c r="N558" s="170">
        <v>40</v>
      </c>
      <c r="O558" s="199">
        <f t="shared" si="314"/>
        <v>2511886.431509587</v>
      </c>
      <c r="P558" s="189" t="str">
        <f t="shared" si="315"/>
        <v>290</v>
      </c>
      <c r="Q558" s="160" t="e">
        <f t="shared" si="316"/>
        <v>#DIV/0!</v>
      </c>
      <c r="R558" s="160" t="e">
        <f t="shared" si="324"/>
        <v>#DIV/0!</v>
      </c>
      <c r="S558" s="160" t="e">
        <f t="shared" si="325"/>
        <v>#DIV/0!</v>
      </c>
      <c r="T558" s="160" t="e">
        <f t="shared" si="317"/>
        <v>#DIV/0!</v>
      </c>
      <c r="U558" s="160" t="e">
        <f t="shared" si="326"/>
        <v>#DIV/0!</v>
      </c>
      <c r="V558" s="160" t="e">
        <f t="shared" si="327"/>
        <v>#DIV/0!</v>
      </c>
      <c r="W558" s="98" t="str">
        <f t="shared" si="318"/>
        <v>1-125.767975610626i</v>
      </c>
      <c r="X558" s="160">
        <f t="shared" si="328"/>
        <v>125.77195112263709</v>
      </c>
      <c r="Y558" s="160">
        <f t="shared" si="329"/>
        <v>-1.5628453446601325</v>
      </c>
      <c r="Z558" s="98" t="str">
        <f t="shared" si="319"/>
        <v>-129.36308770252+14.9346361503924i</v>
      </c>
      <c r="AA558" s="160">
        <f t="shared" si="330"/>
        <v>130.22231689259138</v>
      </c>
      <c r="AB558" s="160">
        <f t="shared" si="331"/>
        <v>3.0266540582476793</v>
      </c>
      <c r="AC558" s="171" t="e">
        <f t="shared" si="332"/>
        <v>#DIV/0!</v>
      </c>
      <c r="AD558" s="190" t="e">
        <f t="shared" si="333"/>
        <v>#DIV/0!</v>
      </c>
      <c r="AE558" s="169" t="e">
        <f t="shared" si="334"/>
        <v>#DIV/0!</v>
      </c>
      <c r="AF558" s="98" t="str">
        <f t="shared" si="320"/>
        <v>-0.0000182926829268293</v>
      </c>
      <c r="AG558" s="98" t="str">
        <f t="shared" si="321"/>
        <v>0.350690436777174i</v>
      </c>
      <c r="AH558" s="98">
        <f t="shared" si="335"/>
        <v>0.35069043677717399</v>
      </c>
      <c r="AI558" s="98">
        <f t="shared" si="336"/>
        <v>1.5707963267948966</v>
      </c>
      <c r="AJ558" s="98" t="str">
        <f t="shared" si="322"/>
        <v>1+34.3780449737451i</v>
      </c>
      <c r="AK558" s="98">
        <f t="shared" si="337"/>
        <v>34.3925860646861</v>
      </c>
      <c r="AL558" s="98">
        <f t="shared" si="338"/>
        <v>1.5417161943973059</v>
      </c>
      <c r="AM558" s="98" t="str">
        <f t="shared" si="323"/>
        <v>1+3472.18254234825i</v>
      </c>
      <c r="AN558" s="98">
        <f t="shared" si="339"/>
        <v>3472.1826863498927</v>
      </c>
      <c r="AO558" s="98">
        <f t="shared" si="340"/>
        <v>1.5705083235116144</v>
      </c>
      <c r="AP558" s="168" t="str">
        <f t="shared" si="341"/>
        <v>-0.000151602021953601+0.00526394303861999i</v>
      </c>
      <c r="AQ558" s="98">
        <f t="shared" si="342"/>
        <v>-45.570175636776881</v>
      </c>
      <c r="AR558" s="169">
        <f t="shared" si="343"/>
        <v>91.649667481445618</v>
      </c>
      <c r="AS558" s="168" t="e">
        <f t="shared" si="344"/>
        <v>#DIV/0!</v>
      </c>
      <c r="AT558" s="190" t="e">
        <f t="shared" si="345"/>
        <v>#DIV/0!</v>
      </c>
      <c r="AU558" s="169" t="e">
        <f t="shared" si="346"/>
        <v>#DIV/0!</v>
      </c>
      <c r="AV558" s="225"/>
      <c r="AX558" t="e">
        <f t="shared" si="347"/>
        <v>#DIV/0!</v>
      </c>
      <c r="AY558" t="e">
        <f t="shared" si="348"/>
        <v>#DIV/0!</v>
      </c>
    </row>
    <row r="559" spans="14:51" x14ac:dyDescent="0.25">
      <c r="N559" s="170">
        <v>41</v>
      </c>
      <c r="O559" s="199">
        <f t="shared" si="314"/>
        <v>2570395.782768866</v>
      </c>
      <c r="P559" s="189" t="str">
        <f t="shared" si="315"/>
        <v>290</v>
      </c>
      <c r="Q559" s="160" t="e">
        <f t="shared" si="316"/>
        <v>#DIV/0!</v>
      </c>
      <c r="R559" s="160" t="e">
        <f t="shared" si="324"/>
        <v>#DIV/0!</v>
      </c>
      <c r="S559" s="160" t="e">
        <f t="shared" si="325"/>
        <v>#DIV/0!</v>
      </c>
      <c r="T559" s="160" t="e">
        <f t="shared" si="317"/>
        <v>#DIV/0!</v>
      </c>
      <c r="U559" s="160" t="e">
        <f t="shared" si="326"/>
        <v>#DIV/0!</v>
      </c>
      <c r="V559" s="160" t="e">
        <f t="shared" si="327"/>
        <v>#DIV/0!</v>
      </c>
      <c r="W559" s="98" t="str">
        <f t="shared" si="318"/>
        <v>1-128.69748809569i</v>
      </c>
      <c r="X559" s="160">
        <f t="shared" si="328"/>
        <v>128.70137311676308</v>
      </c>
      <c r="Y559" s="160">
        <f t="shared" si="329"/>
        <v>-1.5630263237404496</v>
      </c>
      <c r="Z559" s="98" t="str">
        <f t="shared" si="319"/>
        <v>-135.506910745371+15.2825085149594i</v>
      </c>
      <c r="AA559" s="160">
        <f t="shared" si="330"/>
        <v>136.3659705581409</v>
      </c>
      <c r="AB559" s="160">
        <f t="shared" si="331"/>
        <v>3.0292869141555832</v>
      </c>
      <c r="AC559" s="171" t="e">
        <f t="shared" si="332"/>
        <v>#DIV/0!</v>
      </c>
      <c r="AD559" s="190" t="e">
        <f t="shared" si="333"/>
        <v>#DIV/0!</v>
      </c>
      <c r="AE559" s="169" t="e">
        <f t="shared" si="334"/>
        <v>#DIV/0!</v>
      </c>
      <c r="AF559" s="98" t="str">
        <f t="shared" si="320"/>
        <v>-0.0000182926829268293</v>
      </c>
      <c r="AG559" s="98" t="str">
        <f t="shared" si="321"/>
        <v>0.358859066413958i</v>
      </c>
      <c r="AH559" s="98">
        <f t="shared" si="335"/>
        <v>0.35885906641395798</v>
      </c>
      <c r="AI559" s="98">
        <f t="shared" si="336"/>
        <v>1.5707963267948966</v>
      </c>
      <c r="AJ559" s="98" t="str">
        <f t="shared" si="322"/>
        <v>1+35.1788125099459i</v>
      </c>
      <c r="AK559" s="98">
        <f t="shared" si="337"/>
        <v>35.193022740451354</v>
      </c>
      <c r="AL559" s="98">
        <f t="shared" si="338"/>
        <v>1.5423777785396451</v>
      </c>
      <c r="AM559" s="98" t="str">
        <f t="shared" si="323"/>
        <v>1+3553.06006350453i</v>
      </c>
      <c r="AN559" s="98">
        <f t="shared" si="339"/>
        <v>3553.0602042282944</v>
      </c>
      <c r="AO559" s="98">
        <f t="shared" si="340"/>
        <v>1.5705148792663655</v>
      </c>
      <c r="AP559" s="168" t="str">
        <f t="shared" si="341"/>
        <v>-0.000144784316031392+0.00514431486781047i</v>
      </c>
      <c r="AQ559" s="98">
        <f t="shared" si="342"/>
        <v>-45.770010400897007</v>
      </c>
      <c r="AR559" s="169">
        <f t="shared" si="343"/>
        <v>91.612137119375561</v>
      </c>
      <c r="AS559" s="168" t="e">
        <f t="shared" si="344"/>
        <v>#DIV/0!</v>
      </c>
      <c r="AT559" s="190" t="e">
        <f t="shared" si="345"/>
        <v>#DIV/0!</v>
      </c>
      <c r="AU559" s="169" t="e">
        <f t="shared" si="346"/>
        <v>#DIV/0!</v>
      </c>
      <c r="AV559" s="225"/>
      <c r="AX559" t="e">
        <f t="shared" si="347"/>
        <v>#DIV/0!</v>
      </c>
      <c r="AY559" t="e">
        <f t="shared" si="348"/>
        <v>#DIV/0!</v>
      </c>
    </row>
    <row r="560" spans="14:51" ht="15.75" thickBot="1" x14ac:dyDescent="0.3">
      <c r="N560" s="170">
        <v>42</v>
      </c>
      <c r="O560" s="199">
        <f t="shared" si="314"/>
        <v>2630267.9918953842</v>
      </c>
      <c r="P560" s="189" t="str">
        <f t="shared" si="315"/>
        <v>290</v>
      </c>
      <c r="Q560" s="160" t="e">
        <f t="shared" si="316"/>
        <v>#DIV/0!</v>
      </c>
      <c r="R560" s="160" t="e">
        <f t="shared" si="324"/>
        <v>#DIV/0!</v>
      </c>
      <c r="S560" s="160" t="e">
        <f t="shared" si="325"/>
        <v>#DIV/0!</v>
      </c>
      <c r="T560" s="160" t="e">
        <f t="shared" si="317"/>
        <v>#DIV/0!</v>
      </c>
      <c r="U560" s="160" t="e">
        <f t="shared" si="326"/>
        <v>#DIV/0!</v>
      </c>
      <c r="V560" s="160" t="e">
        <f t="shared" si="327"/>
        <v>#DIV/0!</v>
      </c>
      <c r="W560" s="98" t="str">
        <f t="shared" si="318"/>
        <v>1-131.695237692455i</v>
      </c>
      <c r="X560" s="160">
        <f t="shared" si="328"/>
        <v>131.69903428223085</v>
      </c>
      <c r="Y560" s="160">
        <f t="shared" si="329"/>
        <v>-1.5632031837257894</v>
      </c>
      <c r="Z560" s="98" t="str">
        <f t="shared" si="319"/>
        <v>-141.940283247714+15.6384838678289i</v>
      </c>
      <c r="AA560" s="160">
        <f t="shared" si="330"/>
        <v>142.79918132162251</v>
      </c>
      <c r="AB560" s="160">
        <f t="shared" si="331"/>
        <v>3.0318587385361639</v>
      </c>
      <c r="AC560" s="196" t="e">
        <f t="shared" si="332"/>
        <v>#DIV/0!</v>
      </c>
      <c r="AD560" s="197" t="e">
        <f t="shared" si="333"/>
        <v>#DIV/0!</v>
      </c>
      <c r="AE560" s="198" t="e">
        <f t="shared" si="334"/>
        <v>#DIV/0!</v>
      </c>
      <c r="AF560" s="98" t="str">
        <f t="shared" si="320"/>
        <v>-0.0000182926829268293</v>
      </c>
      <c r="AG560" s="98" t="str">
        <f t="shared" si="321"/>
        <v>0.367217967877817i</v>
      </c>
      <c r="AH560" s="98">
        <f t="shared" si="335"/>
        <v>0.36721796787781702</v>
      </c>
      <c r="AI560" s="98">
        <f t="shared" si="336"/>
        <v>1.5707963267948966</v>
      </c>
      <c r="AJ560" s="98" t="str">
        <f t="shared" si="322"/>
        <v>1+35.9982323181861i</v>
      </c>
      <c r="AK560" s="98">
        <f t="shared" si="337"/>
        <v>36.01211921053936</v>
      </c>
      <c r="AL560" s="98">
        <f t="shared" si="338"/>
        <v>1.5430243272342061</v>
      </c>
      <c r="AM560" s="98" t="str">
        <f t="shared" si="323"/>
        <v>1+3635.82146413679i</v>
      </c>
      <c r="AN560" s="98">
        <f t="shared" si="339"/>
        <v>3635.821601657291</v>
      </c>
      <c r="AO560" s="98">
        <f t="shared" si="340"/>
        <v>1.5705212857939432</v>
      </c>
      <c r="AP560" s="191" t="str">
        <f t="shared" si="341"/>
        <v>-0.00013827297305999+0.00502739684466047i</v>
      </c>
      <c r="AQ560" s="195">
        <f t="shared" si="342"/>
        <v>-45.96985259598668</v>
      </c>
      <c r="AR560" s="198">
        <f t="shared" si="343"/>
        <v>91.575459674919045</v>
      </c>
      <c r="AS560" s="191" t="e">
        <f t="shared" si="344"/>
        <v>#DIV/0!</v>
      </c>
      <c r="AT560" s="197" t="e">
        <f t="shared" si="345"/>
        <v>#DIV/0!</v>
      </c>
      <c r="AU560" s="198" t="e">
        <f t="shared" si="346"/>
        <v>#DIV/0!</v>
      </c>
      <c r="AV560" s="225"/>
    </row>
    <row r="561" spans="14:30" x14ac:dyDescent="0.25">
      <c r="N561" s="170"/>
      <c r="P561" s="189"/>
      <c r="Q561" s="160"/>
      <c r="R561" s="160"/>
      <c r="S561" s="160"/>
      <c r="T561" s="160"/>
      <c r="U561" s="160"/>
      <c r="V561" s="160"/>
      <c r="X561" s="160"/>
      <c r="Y561" s="160"/>
      <c r="AA561" s="160"/>
      <c r="AB561" s="160"/>
      <c r="AC561" s="160"/>
      <c r="AD561" s="190"/>
    </row>
    <row r="562" spans="14:30" x14ac:dyDescent="0.25">
      <c r="N562" s="170"/>
      <c r="P562" s="189"/>
      <c r="Q562" s="160"/>
      <c r="R562" s="160"/>
      <c r="S562" s="160"/>
      <c r="T562" s="160"/>
      <c r="U562" s="160"/>
      <c r="V562" s="160"/>
      <c r="X562" s="160"/>
      <c r="Y562" s="160"/>
      <c r="AA562" s="160"/>
      <c r="AB562" s="160"/>
      <c r="AC562" s="160"/>
      <c r="AD562" s="190"/>
    </row>
    <row r="563" spans="14:30" x14ac:dyDescent="0.25">
      <c r="N563" s="170"/>
      <c r="P563" s="189"/>
      <c r="Q563" s="160"/>
      <c r="R563" s="160"/>
      <c r="S563" s="160"/>
      <c r="T563" s="160"/>
      <c r="U563" s="160"/>
      <c r="V563" s="160"/>
      <c r="X563" s="160"/>
      <c r="Y563" s="160"/>
      <c r="AA563" s="160"/>
      <c r="AB563" s="160"/>
      <c r="AC563" s="160"/>
      <c r="AD563" s="190"/>
    </row>
    <row r="564" spans="14:30" x14ac:dyDescent="0.25">
      <c r="N564" s="170"/>
      <c r="P564" s="189"/>
      <c r="Q564" s="160"/>
      <c r="R564" s="160"/>
      <c r="S564" s="160"/>
      <c r="T564" s="160"/>
      <c r="U564" s="160"/>
      <c r="V564" s="160"/>
      <c r="X564" s="160"/>
      <c r="Y564" s="160"/>
      <c r="AA564" s="160"/>
      <c r="AB564" s="160"/>
      <c r="AC564" s="160"/>
      <c r="AD564" s="190"/>
    </row>
    <row r="565" spans="14:30" x14ac:dyDescent="0.25">
      <c r="N565" s="170"/>
      <c r="P565" s="189"/>
      <c r="Q565" s="160"/>
      <c r="R565" s="160"/>
      <c r="S565" s="160"/>
      <c r="T565" s="160"/>
      <c r="U565" s="160"/>
      <c r="V565" s="160"/>
      <c r="X565" s="160"/>
      <c r="Y565" s="160"/>
      <c r="AA565" s="160"/>
      <c r="AB565" s="160"/>
      <c r="AC565" s="160"/>
      <c r="AD565" s="190"/>
    </row>
    <row r="566" spans="14:30" x14ac:dyDescent="0.25">
      <c r="N566" s="170"/>
      <c r="P566" s="189"/>
      <c r="Q566" s="160"/>
      <c r="R566" s="160"/>
      <c r="S566" s="160"/>
      <c r="T566" s="160"/>
      <c r="U566" s="160"/>
      <c r="V566" s="160"/>
      <c r="X566" s="160"/>
      <c r="Y566" s="160"/>
      <c r="AA566" s="160"/>
      <c r="AB566" s="160"/>
      <c r="AC566" s="160"/>
      <c r="AD566" s="190"/>
    </row>
    <row r="567" spans="14:30" x14ac:dyDescent="0.25">
      <c r="N567" s="170"/>
      <c r="P567" s="189"/>
      <c r="Q567" s="160"/>
      <c r="R567" s="160"/>
      <c r="S567" s="160"/>
      <c r="T567" s="160"/>
      <c r="U567" s="160"/>
      <c r="V567" s="160"/>
      <c r="X567" s="160"/>
      <c r="Y567" s="160"/>
      <c r="AA567" s="160"/>
      <c r="AB567" s="160"/>
      <c r="AC567" s="160"/>
      <c r="AD567" s="190"/>
    </row>
    <row r="568" spans="14:30" x14ac:dyDescent="0.25">
      <c r="N568" s="170"/>
      <c r="P568" s="189"/>
      <c r="Q568" s="160"/>
      <c r="R568" s="160"/>
      <c r="S568" s="160"/>
      <c r="T568" s="160"/>
      <c r="U568" s="160"/>
      <c r="V568" s="160"/>
      <c r="X568" s="160"/>
      <c r="Y568" s="160"/>
      <c r="AA568" s="160"/>
      <c r="AB568" s="160"/>
      <c r="AC568" s="160"/>
      <c r="AD568" s="190"/>
    </row>
    <row r="569" spans="14:30" x14ac:dyDescent="0.25">
      <c r="N569" s="170"/>
      <c r="P569" s="189"/>
      <c r="Q569" s="160"/>
      <c r="R569" s="160"/>
      <c r="S569" s="160"/>
      <c r="T569" s="160"/>
      <c r="U569" s="160"/>
      <c r="V569" s="160"/>
      <c r="X569" s="160"/>
      <c r="Y569" s="160"/>
      <c r="AA569" s="160"/>
      <c r="AB569" s="160"/>
      <c r="AC569" s="160"/>
      <c r="AD569" s="190"/>
    </row>
    <row r="570" spans="14:30" x14ac:dyDescent="0.25">
      <c r="N570" s="170"/>
      <c r="P570" s="189"/>
      <c r="Q570" s="160"/>
      <c r="R570" s="160"/>
      <c r="S570" s="160"/>
      <c r="T570" s="160"/>
      <c r="U570" s="160"/>
      <c r="V570" s="160"/>
      <c r="X570" s="160"/>
      <c r="Y570" s="160"/>
      <c r="AA570" s="160"/>
      <c r="AB570" s="160"/>
      <c r="AC570" s="160"/>
      <c r="AD570" s="190"/>
    </row>
    <row r="571" spans="14:30" x14ac:dyDescent="0.25">
      <c r="N571" s="170"/>
      <c r="P571" s="189"/>
      <c r="Q571" s="160"/>
      <c r="R571" s="160"/>
      <c r="S571" s="160"/>
      <c r="T571" s="160"/>
      <c r="U571" s="160"/>
      <c r="V571" s="160"/>
      <c r="X571" s="160"/>
      <c r="Y571" s="160"/>
      <c r="AA571" s="160"/>
      <c r="AB571" s="160"/>
      <c r="AC571" s="160"/>
      <c r="AD571" s="190"/>
    </row>
    <row r="572" spans="14:30" x14ac:dyDescent="0.25">
      <c r="N572" s="170"/>
      <c r="P572" s="189"/>
      <c r="Q572" s="160"/>
      <c r="R572" s="160"/>
      <c r="S572" s="160"/>
      <c r="T572" s="160"/>
      <c r="U572" s="160"/>
      <c r="V572" s="160"/>
      <c r="X572" s="160"/>
      <c r="Y572" s="160"/>
      <c r="AA572" s="160"/>
      <c r="AB572" s="160"/>
      <c r="AC572" s="160"/>
      <c r="AD572" s="190"/>
    </row>
    <row r="573" spans="14:30" x14ac:dyDescent="0.25">
      <c r="N573" s="170"/>
      <c r="P573" s="189"/>
      <c r="Q573" s="160"/>
      <c r="R573" s="160"/>
      <c r="S573" s="160"/>
      <c r="T573" s="160"/>
      <c r="U573" s="160"/>
      <c r="V573" s="160"/>
      <c r="X573" s="160"/>
      <c r="Y573" s="160"/>
      <c r="AA573" s="160"/>
      <c r="AB573" s="160"/>
      <c r="AC573" s="160"/>
      <c r="AD573" s="190"/>
    </row>
    <row r="574" spans="14:30" x14ac:dyDescent="0.25">
      <c r="N574" s="170"/>
      <c r="P574" s="189"/>
      <c r="Q574" s="160"/>
      <c r="R574" s="160"/>
      <c r="S574" s="160"/>
      <c r="T574" s="160"/>
      <c r="U574" s="160"/>
      <c r="V574" s="160"/>
      <c r="X574" s="160"/>
      <c r="Y574" s="160"/>
      <c r="AA574" s="160"/>
      <c r="AB574" s="160"/>
      <c r="AC574" s="160"/>
      <c r="AD574" s="190"/>
    </row>
    <row r="575" spans="14:30" x14ac:dyDescent="0.25">
      <c r="N575" s="170"/>
      <c r="P575" s="189"/>
      <c r="Q575" s="160"/>
      <c r="R575" s="160"/>
      <c r="S575" s="160"/>
      <c r="T575" s="160"/>
      <c r="U575" s="160"/>
      <c r="V575" s="160"/>
      <c r="X575" s="160"/>
      <c r="Y575" s="160"/>
      <c r="AA575" s="160"/>
      <c r="AB575" s="160"/>
      <c r="AC575" s="160"/>
      <c r="AD575" s="190"/>
    </row>
    <row r="576" spans="14:30" x14ac:dyDescent="0.25">
      <c r="N576" s="170"/>
      <c r="P576" s="189"/>
      <c r="Q576" s="160"/>
      <c r="R576" s="160"/>
      <c r="S576" s="160"/>
      <c r="T576" s="160"/>
      <c r="U576" s="160"/>
      <c r="V576" s="160"/>
      <c r="X576" s="160"/>
      <c r="Y576" s="160"/>
      <c r="AA576" s="160"/>
      <c r="AB576" s="160"/>
      <c r="AC576" s="160"/>
      <c r="AD576" s="190"/>
    </row>
    <row r="577" spans="14:30" x14ac:dyDescent="0.25">
      <c r="N577" s="170"/>
      <c r="P577" s="189"/>
      <c r="Q577" s="160"/>
      <c r="R577" s="160"/>
      <c r="S577" s="160"/>
      <c r="T577" s="160"/>
      <c r="U577" s="160"/>
      <c r="V577" s="160"/>
      <c r="X577" s="160"/>
      <c r="Y577" s="160"/>
      <c r="AA577" s="160"/>
      <c r="AB577" s="160"/>
      <c r="AC577" s="160"/>
      <c r="AD577" s="190"/>
    </row>
    <row r="578" spans="14:30" x14ac:dyDescent="0.25">
      <c r="N578" s="170"/>
      <c r="P578" s="189"/>
      <c r="Q578" s="160"/>
      <c r="R578" s="160"/>
      <c r="S578" s="160"/>
      <c r="T578" s="160"/>
      <c r="U578" s="160"/>
      <c r="V578" s="160"/>
      <c r="X578" s="160"/>
      <c r="Y578" s="160"/>
      <c r="AA578" s="160"/>
      <c r="AB578" s="160"/>
      <c r="AC578" s="160"/>
      <c r="AD578" s="190"/>
    </row>
    <row r="579" spans="14:30" x14ac:dyDescent="0.25">
      <c r="N579" s="170"/>
      <c r="P579" s="189"/>
      <c r="Q579" s="160"/>
      <c r="R579" s="160"/>
      <c r="S579" s="160"/>
      <c r="T579" s="160"/>
      <c r="U579" s="160"/>
      <c r="V579" s="160"/>
      <c r="X579" s="160"/>
      <c r="Y579" s="160"/>
      <c r="AA579" s="160"/>
      <c r="AB579" s="160"/>
      <c r="AC579" s="160"/>
      <c r="AD579" s="190"/>
    </row>
    <row r="580" spans="14:30" x14ac:dyDescent="0.25">
      <c r="N580" s="170"/>
      <c r="P580" s="189"/>
      <c r="Q580" s="160"/>
      <c r="R580" s="160"/>
      <c r="S580" s="160"/>
      <c r="T580" s="160"/>
      <c r="U580" s="160"/>
      <c r="V580" s="160"/>
      <c r="X580" s="160"/>
      <c r="Y580" s="160"/>
      <c r="AA580" s="160"/>
      <c r="AB580" s="160"/>
      <c r="AC580" s="160"/>
      <c r="AD580" s="190"/>
    </row>
    <row r="581" spans="14:30" x14ac:dyDescent="0.25">
      <c r="N581" s="170"/>
      <c r="P581" s="189"/>
      <c r="Q581" s="160"/>
      <c r="R581" s="160"/>
      <c r="S581" s="160"/>
      <c r="T581" s="160"/>
      <c r="U581" s="160"/>
      <c r="V581" s="160"/>
      <c r="X581" s="160"/>
      <c r="Y581" s="160"/>
      <c r="AA581" s="160"/>
      <c r="AB581" s="160"/>
      <c r="AC581" s="160"/>
      <c r="AD581" s="190"/>
    </row>
    <row r="582" spans="14:30" x14ac:dyDescent="0.25">
      <c r="N582" s="170"/>
      <c r="P582" s="189"/>
      <c r="Q582" s="160"/>
      <c r="R582" s="160"/>
      <c r="S582" s="160"/>
      <c r="T582" s="160"/>
      <c r="U582" s="160"/>
      <c r="V582" s="160"/>
      <c r="X582" s="160"/>
      <c r="Y582" s="160"/>
      <c r="AA582" s="160"/>
      <c r="AB582" s="160"/>
      <c r="AC582" s="160"/>
      <c r="AD582" s="190"/>
    </row>
    <row r="583" spans="14:30" x14ac:dyDescent="0.25">
      <c r="N583" s="170"/>
      <c r="P583" s="189"/>
      <c r="Q583" s="160"/>
      <c r="R583" s="160"/>
      <c r="S583" s="160"/>
      <c r="T583" s="160"/>
      <c r="U583" s="160"/>
      <c r="V583" s="160"/>
      <c r="X583" s="160"/>
      <c r="Y583" s="160"/>
      <c r="AA583" s="160"/>
      <c r="AB583" s="160"/>
      <c r="AC583" s="160"/>
      <c r="AD583" s="190"/>
    </row>
    <row r="584" spans="14:30" x14ac:dyDescent="0.25">
      <c r="N584" s="170"/>
      <c r="P584" s="189"/>
      <c r="Q584" s="160"/>
      <c r="R584" s="160"/>
      <c r="S584" s="160"/>
      <c r="T584" s="160"/>
      <c r="U584" s="160"/>
      <c r="V584" s="160"/>
      <c r="X584" s="160"/>
      <c r="Y584" s="160"/>
      <c r="AA584" s="160"/>
      <c r="AB584" s="160"/>
      <c r="AC584" s="160"/>
      <c r="AD584" s="190"/>
    </row>
    <row r="585" spans="14:30" x14ac:dyDescent="0.25">
      <c r="N585" s="170"/>
      <c r="P585" s="189"/>
      <c r="Q585" s="160"/>
      <c r="R585" s="160"/>
      <c r="S585" s="160"/>
      <c r="T585" s="160"/>
      <c r="U585" s="160"/>
      <c r="V585" s="160"/>
      <c r="X585" s="160"/>
      <c r="Y585" s="160"/>
      <c r="AA585" s="160"/>
      <c r="AB585" s="160"/>
      <c r="AC585" s="160"/>
      <c r="AD585" s="190"/>
    </row>
    <row r="586" spans="14:30" x14ac:dyDescent="0.25">
      <c r="N586" s="170"/>
      <c r="P586" s="189"/>
      <c r="Q586" s="160"/>
      <c r="R586" s="160"/>
      <c r="S586" s="160"/>
      <c r="T586" s="160"/>
      <c r="U586" s="160"/>
      <c r="V586" s="160"/>
      <c r="X586" s="160"/>
      <c r="Y586" s="160"/>
      <c r="AA586" s="160"/>
      <c r="AB586" s="160"/>
      <c r="AC586" s="160"/>
      <c r="AD586" s="190"/>
    </row>
    <row r="587" spans="14:30" x14ac:dyDescent="0.25">
      <c r="N587" s="170"/>
      <c r="P587" s="189"/>
      <c r="Q587" s="160"/>
      <c r="R587" s="160"/>
      <c r="S587" s="160"/>
      <c r="T587" s="160"/>
      <c r="U587" s="160"/>
      <c r="V587" s="160"/>
      <c r="X587" s="160"/>
      <c r="Y587" s="160"/>
      <c r="AA587" s="160"/>
      <c r="AB587" s="160"/>
      <c r="AC587" s="160"/>
      <c r="AD587" s="190"/>
    </row>
    <row r="588" spans="14:30" x14ac:dyDescent="0.25">
      <c r="N588" s="170"/>
      <c r="P588" s="189"/>
      <c r="Q588" s="160"/>
      <c r="R588" s="160"/>
      <c r="S588" s="160"/>
      <c r="T588" s="160"/>
      <c r="U588" s="160"/>
      <c r="V588" s="160"/>
      <c r="X588" s="160"/>
      <c r="Y588" s="160"/>
      <c r="AA588" s="160"/>
      <c r="AB588" s="160"/>
      <c r="AC588" s="160"/>
      <c r="AD588" s="190"/>
    </row>
    <row r="589" spans="14:30" x14ac:dyDescent="0.25">
      <c r="N589" s="170"/>
      <c r="P589" s="189"/>
      <c r="Q589" s="160"/>
      <c r="R589" s="160"/>
      <c r="S589" s="160"/>
      <c r="T589" s="160"/>
      <c r="U589" s="160"/>
      <c r="V589" s="160"/>
      <c r="X589" s="160"/>
      <c r="Y589" s="160"/>
      <c r="AA589" s="160"/>
      <c r="AB589" s="160"/>
      <c r="AC589" s="160"/>
      <c r="AD589" s="190"/>
    </row>
    <row r="590" spans="14:30" x14ac:dyDescent="0.25">
      <c r="N590" s="170"/>
      <c r="P590" s="189"/>
      <c r="Q590" s="160"/>
      <c r="R590" s="160"/>
      <c r="S590" s="160"/>
      <c r="T590" s="160"/>
      <c r="U590" s="160"/>
      <c r="V590" s="160"/>
      <c r="X590" s="160"/>
      <c r="Y590" s="160"/>
      <c r="AA590" s="160"/>
      <c r="AB590" s="160"/>
      <c r="AC590" s="160"/>
      <c r="AD590" s="190"/>
    </row>
    <row r="591" spans="14:30" x14ac:dyDescent="0.25">
      <c r="N591" s="170"/>
      <c r="P591" s="189"/>
      <c r="Q591" s="160"/>
      <c r="R591" s="160"/>
      <c r="S591" s="160"/>
      <c r="T591" s="160"/>
      <c r="U591" s="160"/>
      <c r="V591" s="160"/>
      <c r="X591" s="160"/>
      <c r="Y591" s="160"/>
      <c r="AA591" s="160"/>
      <c r="AB591" s="160"/>
      <c r="AC591" s="160"/>
      <c r="AD591" s="190"/>
    </row>
    <row r="592" spans="14:30" x14ac:dyDescent="0.25">
      <c r="N592" s="170"/>
      <c r="P592" s="189"/>
      <c r="Q592" s="160"/>
      <c r="R592" s="160"/>
      <c r="S592" s="160"/>
      <c r="T592" s="160"/>
      <c r="U592" s="160"/>
      <c r="V592" s="160"/>
      <c r="X592" s="160"/>
      <c r="Y592" s="160"/>
      <c r="AA592" s="160"/>
      <c r="AB592" s="160"/>
      <c r="AC592" s="160"/>
      <c r="AD592" s="190"/>
    </row>
    <row r="593" spans="14:30" x14ac:dyDescent="0.25">
      <c r="N593" s="170"/>
      <c r="P593" s="189"/>
      <c r="Q593" s="160"/>
      <c r="R593" s="160"/>
      <c r="S593" s="160"/>
      <c r="T593" s="160"/>
      <c r="U593" s="160"/>
      <c r="V593" s="160"/>
      <c r="X593" s="160"/>
      <c r="Y593" s="160"/>
      <c r="AA593" s="160"/>
      <c r="AB593" s="160"/>
      <c r="AC593" s="160"/>
      <c r="AD593" s="190"/>
    </row>
    <row r="594" spans="14:30" x14ac:dyDescent="0.25">
      <c r="N594" s="170"/>
      <c r="P594" s="189"/>
      <c r="Q594" s="160"/>
      <c r="R594" s="160"/>
      <c r="S594" s="160"/>
      <c r="T594" s="160"/>
      <c r="U594" s="160"/>
      <c r="V594" s="160"/>
      <c r="X594" s="160"/>
      <c r="Y594" s="160"/>
      <c r="AA594" s="160"/>
      <c r="AB594" s="160"/>
      <c r="AC594" s="160"/>
      <c r="AD594" s="190"/>
    </row>
    <row r="595" spans="14:30" x14ac:dyDescent="0.25">
      <c r="N595" s="170"/>
      <c r="P595" s="189"/>
      <c r="Q595" s="160"/>
      <c r="R595" s="160"/>
      <c r="S595" s="160"/>
      <c r="T595" s="160"/>
      <c r="U595" s="160"/>
      <c r="V595" s="160"/>
      <c r="X595" s="160"/>
      <c r="Y595" s="160"/>
      <c r="AA595" s="160"/>
      <c r="AB595" s="160"/>
      <c r="AC595" s="160"/>
      <c r="AD595" s="190"/>
    </row>
    <row r="596" spans="14:30" x14ac:dyDescent="0.25">
      <c r="N596" s="170"/>
      <c r="P596" s="189"/>
      <c r="Q596" s="160"/>
      <c r="R596" s="160"/>
      <c r="S596" s="160"/>
      <c r="T596" s="160"/>
      <c r="U596" s="160"/>
      <c r="V596" s="160"/>
      <c r="X596" s="160"/>
      <c r="Y596" s="160"/>
      <c r="AA596" s="160"/>
      <c r="AB596" s="160"/>
      <c r="AC596" s="160"/>
      <c r="AD596" s="190"/>
    </row>
    <row r="597" spans="14:30" x14ac:dyDescent="0.25">
      <c r="N597" s="170"/>
      <c r="P597" s="189"/>
      <c r="Q597" s="160"/>
      <c r="R597" s="160"/>
      <c r="S597" s="160"/>
      <c r="T597" s="160"/>
      <c r="U597" s="160"/>
      <c r="V597" s="160"/>
      <c r="X597" s="160"/>
      <c r="Y597" s="160"/>
      <c r="AA597" s="160"/>
      <c r="AB597" s="160"/>
      <c r="AC597" s="160"/>
      <c r="AD597" s="190"/>
    </row>
    <row r="598" spans="14:30" x14ac:dyDescent="0.25">
      <c r="N598" s="170"/>
      <c r="P598" s="189"/>
      <c r="Q598" s="160"/>
      <c r="R598" s="160"/>
      <c r="S598" s="160"/>
      <c r="T598" s="160"/>
      <c r="U598" s="160"/>
      <c r="V598" s="160"/>
      <c r="X598" s="160"/>
      <c r="Y598" s="160"/>
      <c r="AA598" s="160"/>
      <c r="AB598" s="160"/>
      <c r="AC598" s="160"/>
      <c r="AD598" s="190"/>
    </row>
    <row r="599" spans="14:30" x14ac:dyDescent="0.25">
      <c r="N599" s="170"/>
      <c r="P599" s="189"/>
      <c r="Q599" s="160"/>
      <c r="R599" s="160"/>
      <c r="S599" s="160"/>
      <c r="T599" s="160"/>
      <c r="U599" s="160"/>
      <c r="V599" s="160"/>
      <c r="X599" s="160"/>
      <c r="Y599" s="160"/>
      <c r="AA599" s="160"/>
      <c r="AB599" s="160"/>
      <c r="AC599" s="160"/>
      <c r="AD599" s="190"/>
    </row>
    <row r="600" spans="14:30" x14ac:dyDescent="0.25">
      <c r="N600" s="170"/>
      <c r="P600" s="189"/>
      <c r="Q600" s="160"/>
      <c r="R600" s="160"/>
      <c r="S600" s="160"/>
      <c r="T600" s="160"/>
      <c r="U600" s="160"/>
      <c r="V600" s="160"/>
      <c r="X600" s="160"/>
      <c r="Y600" s="160"/>
      <c r="AA600" s="160"/>
      <c r="AB600" s="160"/>
      <c r="AC600" s="160"/>
      <c r="AD600" s="190"/>
    </row>
    <row r="601" spans="14:30" x14ac:dyDescent="0.25">
      <c r="N601" s="170"/>
      <c r="P601" s="189"/>
      <c r="Q601" s="160"/>
      <c r="R601" s="160"/>
      <c r="S601" s="160"/>
      <c r="T601" s="160"/>
      <c r="U601" s="160"/>
      <c r="V601" s="160"/>
      <c r="X601" s="160"/>
      <c r="Y601" s="160"/>
      <c r="AA601" s="160"/>
      <c r="AB601" s="160"/>
      <c r="AC601" s="160"/>
      <c r="AD601" s="190"/>
    </row>
    <row r="602" spans="14:30" x14ac:dyDescent="0.25">
      <c r="N602" s="170"/>
      <c r="P602" s="189"/>
      <c r="Q602" s="160"/>
      <c r="R602" s="160"/>
      <c r="S602" s="160"/>
      <c r="T602" s="160"/>
      <c r="U602" s="160"/>
      <c r="V602" s="160"/>
      <c r="X602" s="160"/>
      <c r="Y602" s="160"/>
      <c r="AA602" s="160"/>
      <c r="AB602" s="160"/>
      <c r="AC602" s="160"/>
      <c r="AD602" s="190"/>
    </row>
    <row r="603" spans="14:30" x14ac:dyDescent="0.25">
      <c r="N603" s="170"/>
      <c r="P603" s="189"/>
      <c r="Q603" s="160"/>
      <c r="R603" s="160"/>
      <c r="S603" s="160"/>
      <c r="T603" s="160"/>
      <c r="U603" s="160"/>
      <c r="V603" s="160"/>
      <c r="X603" s="160"/>
      <c r="Y603" s="160"/>
      <c r="AA603" s="160"/>
      <c r="AB603" s="160"/>
      <c r="AC603" s="160"/>
      <c r="AD603" s="190"/>
    </row>
    <row r="604" spans="14:30" x14ac:dyDescent="0.25">
      <c r="N604" s="170"/>
      <c r="P604" s="189"/>
      <c r="Q604" s="160"/>
      <c r="R604" s="160"/>
      <c r="S604" s="160"/>
      <c r="T604" s="160"/>
      <c r="U604" s="160"/>
      <c r="V604" s="160"/>
      <c r="X604" s="160"/>
      <c r="Y604" s="160"/>
      <c r="AA604" s="160"/>
      <c r="AB604" s="160"/>
      <c r="AC604" s="160"/>
      <c r="AD604" s="190"/>
    </row>
    <row r="605" spans="14:30" x14ac:dyDescent="0.25">
      <c r="N605" s="170"/>
      <c r="P605" s="189"/>
      <c r="Q605" s="160"/>
      <c r="R605" s="160"/>
      <c r="S605" s="160"/>
      <c r="T605" s="160"/>
      <c r="U605" s="160"/>
      <c r="V605" s="160"/>
      <c r="X605" s="160"/>
      <c r="Y605" s="160"/>
      <c r="AA605" s="160"/>
      <c r="AB605" s="160"/>
      <c r="AC605" s="160"/>
      <c r="AD605" s="190"/>
    </row>
    <row r="606" spans="14:30" x14ac:dyDescent="0.25">
      <c r="N606" s="170"/>
      <c r="P606" s="189"/>
      <c r="Q606" s="160"/>
      <c r="R606" s="160"/>
      <c r="S606" s="160"/>
      <c r="T606" s="160"/>
      <c r="U606" s="160"/>
      <c r="V606" s="160"/>
      <c r="X606" s="160"/>
      <c r="Y606" s="160"/>
      <c r="AA606" s="160"/>
      <c r="AB606" s="160"/>
      <c r="AC606" s="160"/>
      <c r="AD606" s="190"/>
    </row>
    <row r="607" spans="14:30" x14ac:dyDescent="0.25">
      <c r="N607" s="170"/>
      <c r="P607" s="189"/>
      <c r="Q607" s="160"/>
      <c r="R607" s="160"/>
      <c r="S607" s="160"/>
      <c r="T607" s="160"/>
      <c r="U607" s="160"/>
      <c r="V607" s="160"/>
      <c r="X607" s="160"/>
      <c r="Y607" s="160"/>
      <c r="AA607" s="160"/>
      <c r="AB607" s="160"/>
      <c r="AC607" s="160"/>
      <c r="AD607" s="190"/>
    </row>
    <row r="608" spans="14:30" x14ac:dyDescent="0.25">
      <c r="N608" s="170"/>
      <c r="P608" s="189"/>
      <c r="Q608" s="160"/>
      <c r="R608" s="160"/>
      <c r="S608" s="160"/>
      <c r="T608" s="160"/>
      <c r="U608" s="160"/>
      <c r="V608" s="160"/>
      <c r="X608" s="160"/>
      <c r="Y608" s="160"/>
      <c r="AA608" s="160"/>
      <c r="AB608" s="160"/>
      <c r="AC608" s="160"/>
      <c r="AD608" s="190"/>
    </row>
    <row r="609" spans="14:30" x14ac:dyDescent="0.25">
      <c r="N609" s="170"/>
      <c r="P609" s="189"/>
      <c r="Q609" s="160"/>
      <c r="R609" s="160"/>
      <c r="S609" s="160"/>
      <c r="T609" s="160"/>
      <c r="U609" s="160"/>
      <c r="V609" s="160"/>
      <c r="X609" s="160"/>
      <c r="Y609" s="160"/>
      <c r="AA609" s="160"/>
      <c r="AB609" s="160"/>
      <c r="AC609" s="160"/>
      <c r="AD609" s="190"/>
    </row>
    <row r="610" spans="14:30" x14ac:dyDescent="0.25">
      <c r="N610" s="170"/>
      <c r="P610" s="189"/>
      <c r="Q610" s="160"/>
      <c r="R610" s="160"/>
      <c r="S610" s="160"/>
      <c r="T610" s="160"/>
      <c r="U610" s="160"/>
      <c r="V610" s="160"/>
      <c r="X610" s="160"/>
      <c r="Y610" s="160"/>
      <c r="AA610" s="160"/>
      <c r="AB610" s="160"/>
      <c r="AC610" s="160"/>
      <c r="AD610" s="190"/>
    </row>
    <row r="611" spans="14:30" x14ac:dyDescent="0.25">
      <c r="N611" s="170"/>
      <c r="P611" s="189"/>
      <c r="Q611" s="160"/>
      <c r="R611" s="160"/>
      <c r="S611" s="160"/>
      <c r="T611" s="160"/>
      <c r="U611" s="160"/>
      <c r="V611" s="160"/>
      <c r="X611" s="160"/>
      <c r="Y611" s="160"/>
      <c r="AA611" s="160"/>
      <c r="AB611" s="160"/>
      <c r="AC611" s="160"/>
      <c r="AD611" s="190"/>
    </row>
    <row r="612" spans="14:30" x14ac:dyDescent="0.25">
      <c r="N612" s="170"/>
      <c r="P612" s="189"/>
      <c r="Q612" s="160"/>
      <c r="R612" s="160"/>
      <c r="S612" s="160"/>
      <c r="T612" s="160"/>
      <c r="U612" s="160"/>
      <c r="V612" s="160"/>
      <c r="X612" s="160"/>
      <c r="Y612" s="160"/>
      <c r="AA612" s="160"/>
      <c r="AB612" s="160"/>
      <c r="AC612" s="160"/>
      <c r="AD612" s="190"/>
    </row>
    <row r="613" spans="14:30" x14ac:dyDescent="0.25">
      <c r="N613" s="170"/>
      <c r="P613" s="189"/>
      <c r="Q613" s="160"/>
      <c r="R613" s="160"/>
      <c r="S613" s="160"/>
      <c r="T613" s="160"/>
      <c r="U613" s="160"/>
      <c r="V613" s="160"/>
      <c r="X613" s="160"/>
      <c r="Y613" s="160"/>
      <c r="AA613" s="160"/>
      <c r="AB613" s="160"/>
      <c r="AC613" s="160"/>
      <c r="AD613" s="190"/>
    </row>
    <row r="614" spans="14:30" x14ac:dyDescent="0.25">
      <c r="N614" s="170"/>
      <c r="P614" s="189"/>
      <c r="Q614" s="160"/>
      <c r="R614" s="160"/>
      <c r="S614" s="160"/>
      <c r="T614" s="160"/>
      <c r="U614" s="160"/>
      <c r="V614" s="160"/>
      <c r="X614" s="160"/>
      <c r="Y614" s="160"/>
      <c r="AA614" s="160"/>
      <c r="AB614" s="160"/>
      <c r="AC614" s="160"/>
      <c r="AD614" s="190"/>
    </row>
    <row r="615" spans="14:30" x14ac:dyDescent="0.25">
      <c r="N615" s="170"/>
      <c r="P615" s="189"/>
      <c r="Q615" s="160"/>
      <c r="R615" s="160"/>
      <c r="S615" s="160"/>
      <c r="T615" s="160"/>
      <c r="U615" s="160"/>
      <c r="V615" s="160"/>
      <c r="X615" s="160"/>
      <c r="Y615" s="160"/>
      <c r="AA615" s="160"/>
      <c r="AB615" s="160"/>
      <c r="AC615" s="160"/>
      <c r="AD615" s="190"/>
    </row>
    <row r="616" spans="14:30" x14ac:dyDescent="0.25">
      <c r="N616" s="170"/>
      <c r="P616" s="189"/>
      <c r="Q616" s="160"/>
      <c r="R616" s="160"/>
      <c r="S616" s="160"/>
      <c r="T616" s="160"/>
      <c r="U616" s="160"/>
      <c r="V616" s="160"/>
      <c r="X616" s="160"/>
      <c r="Y616" s="160"/>
      <c r="AA616" s="160"/>
      <c r="AB616" s="160"/>
      <c r="AC616" s="160"/>
      <c r="AD616" s="190"/>
    </row>
    <row r="617" spans="14:30" x14ac:dyDescent="0.25">
      <c r="N617" s="170"/>
      <c r="P617" s="189"/>
      <c r="Q617" s="160"/>
      <c r="R617" s="160"/>
      <c r="S617" s="160"/>
      <c r="T617" s="160"/>
      <c r="U617" s="160"/>
      <c r="V617" s="160"/>
      <c r="X617" s="160"/>
      <c r="Y617" s="160"/>
      <c r="AA617" s="160"/>
      <c r="AB617" s="160"/>
      <c r="AC617" s="160"/>
      <c r="AD617" s="190"/>
    </row>
    <row r="618" spans="14:30" x14ac:dyDescent="0.25">
      <c r="N618" s="170"/>
      <c r="P618" s="189"/>
      <c r="Q618" s="160"/>
      <c r="R618" s="160"/>
      <c r="S618" s="160"/>
      <c r="T618" s="160"/>
      <c r="U618" s="160"/>
      <c r="V618" s="160"/>
      <c r="X618" s="160"/>
      <c r="Y618" s="160"/>
      <c r="AA618" s="160"/>
      <c r="AB618" s="160"/>
      <c r="AC618" s="160"/>
      <c r="AD618" s="190"/>
    </row>
    <row r="619" spans="14:30" x14ac:dyDescent="0.25">
      <c r="N619" s="170"/>
      <c r="P619" s="189"/>
      <c r="Q619" s="160"/>
      <c r="R619" s="160"/>
      <c r="S619" s="160"/>
      <c r="T619" s="160"/>
      <c r="U619" s="160"/>
      <c r="V619" s="160"/>
      <c r="X619" s="160"/>
      <c r="Y619" s="160"/>
      <c r="AA619" s="160"/>
      <c r="AB619" s="160"/>
      <c r="AC619" s="160"/>
      <c r="AD619" s="190"/>
    </row>
    <row r="620" spans="14:30" x14ac:dyDescent="0.25">
      <c r="N620" s="170"/>
      <c r="P620" s="189"/>
      <c r="Q620" s="160"/>
      <c r="R620" s="160"/>
      <c r="S620" s="160"/>
      <c r="T620" s="160"/>
      <c r="U620" s="160"/>
      <c r="V620" s="160"/>
      <c r="X620" s="160"/>
      <c r="Y620" s="160"/>
      <c r="AA620" s="160"/>
      <c r="AB620" s="160"/>
      <c r="AC620" s="160"/>
      <c r="AD620" s="190"/>
    </row>
    <row r="621" spans="14:30" x14ac:dyDescent="0.25">
      <c r="N621" s="170"/>
      <c r="P621" s="189"/>
      <c r="Q621" s="160"/>
      <c r="R621" s="160"/>
      <c r="S621" s="160"/>
      <c r="T621" s="160"/>
      <c r="U621" s="160"/>
      <c r="V621" s="160"/>
      <c r="X621" s="160"/>
      <c r="Y621" s="160"/>
      <c r="AA621" s="160"/>
      <c r="AB621" s="160"/>
      <c r="AC621" s="160"/>
      <c r="AD621" s="190"/>
    </row>
    <row r="622" spans="14:30" x14ac:dyDescent="0.25">
      <c r="N622" s="170"/>
      <c r="P622" s="189"/>
      <c r="Q622" s="160"/>
      <c r="R622" s="160"/>
      <c r="S622" s="160"/>
      <c r="T622" s="160"/>
      <c r="U622" s="160"/>
      <c r="V622" s="160"/>
      <c r="X622" s="160"/>
      <c r="Y622" s="160"/>
      <c r="AA622" s="160"/>
      <c r="AB622" s="160"/>
      <c r="AC622" s="160"/>
      <c r="AD622" s="190"/>
    </row>
    <row r="623" spans="14:30" x14ac:dyDescent="0.25">
      <c r="N623" s="170"/>
      <c r="P623" s="189"/>
      <c r="Q623" s="160"/>
      <c r="R623" s="160"/>
      <c r="S623" s="160"/>
      <c r="T623" s="160"/>
      <c r="U623" s="160"/>
      <c r="V623" s="160"/>
      <c r="X623" s="160"/>
      <c r="Y623" s="160"/>
      <c r="AA623" s="160"/>
      <c r="AB623" s="160"/>
      <c r="AC623" s="160"/>
      <c r="AD623" s="190"/>
    </row>
    <row r="624" spans="14:30" x14ac:dyDescent="0.25">
      <c r="N624" s="170"/>
      <c r="P624" s="189"/>
      <c r="Q624" s="160"/>
      <c r="R624" s="160"/>
      <c r="S624" s="160"/>
      <c r="T624" s="160"/>
      <c r="U624" s="160"/>
      <c r="V624" s="160"/>
      <c r="X624" s="160"/>
      <c r="Y624" s="160"/>
      <c r="AA624" s="160"/>
      <c r="AB624" s="160"/>
      <c r="AC624" s="160"/>
      <c r="AD624" s="190"/>
    </row>
    <row r="625" spans="14:30" x14ac:dyDescent="0.25">
      <c r="N625" s="170"/>
      <c r="P625" s="189"/>
      <c r="Q625" s="160"/>
      <c r="R625" s="160"/>
      <c r="S625" s="160"/>
      <c r="T625" s="160"/>
      <c r="U625" s="160"/>
      <c r="V625" s="160"/>
      <c r="X625" s="160"/>
      <c r="Y625" s="160"/>
      <c r="AA625" s="160"/>
      <c r="AB625" s="160"/>
      <c r="AC625" s="160"/>
      <c r="AD625" s="190"/>
    </row>
    <row r="626" spans="14:30" x14ac:dyDescent="0.25">
      <c r="N626" s="170"/>
      <c r="P626" s="189"/>
      <c r="Q626" s="160"/>
      <c r="R626" s="160"/>
      <c r="S626" s="160"/>
      <c r="T626" s="160"/>
      <c r="U626" s="160"/>
      <c r="V626" s="160"/>
      <c r="X626" s="160"/>
      <c r="Y626" s="160"/>
      <c r="AA626" s="160"/>
      <c r="AB626" s="160"/>
      <c r="AC626" s="160"/>
      <c r="AD626" s="190"/>
    </row>
    <row r="627" spans="14:30" x14ac:dyDescent="0.25">
      <c r="N627" s="170"/>
      <c r="P627" s="189"/>
      <c r="Q627" s="160"/>
      <c r="R627" s="160"/>
      <c r="S627" s="160"/>
      <c r="T627" s="160"/>
      <c r="U627" s="160"/>
      <c r="V627" s="160"/>
      <c r="X627" s="160"/>
      <c r="Y627" s="160"/>
      <c r="AA627" s="160"/>
      <c r="AB627" s="160"/>
      <c r="AC627" s="160"/>
      <c r="AD627" s="190"/>
    </row>
    <row r="628" spans="14:30" x14ac:dyDescent="0.25">
      <c r="N628" s="170"/>
      <c r="P628" s="189"/>
      <c r="Q628" s="160"/>
      <c r="R628" s="160"/>
      <c r="S628" s="160"/>
      <c r="T628" s="160"/>
      <c r="U628" s="160"/>
      <c r="V628" s="160"/>
      <c r="X628" s="160"/>
      <c r="Y628" s="160"/>
      <c r="AA628" s="160"/>
      <c r="AB628" s="160"/>
      <c r="AC628" s="160"/>
      <c r="AD628" s="190"/>
    </row>
    <row r="629" spans="14:30" x14ac:dyDescent="0.25">
      <c r="N629" s="170"/>
      <c r="P629" s="189"/>
      <c r="Q629" s="160"/>
      <c r="R629" s="160"/>
      <c r="S629" s="160"/>
      <c r="T629" s="160"/>
      <c r="U629" s="160"/>
      <c r="V629" s="160"/>
      <c r="X629" s="160"/>
      <c r="Y629" s="160"/>
      <c r="AA629" s="160"/>
      <c r="AB629" s="160"/>
      <c r="AC629" s="160"/>
      <c r="AD629" s="190"/>
    </row>
    <row r="630" spans="14:30" x14ac:dyDescent="0.25">
      <c r="N630" s="170"/>
      <c r="P630" s="189"/>
      <c r="Q630" s="160"/>
      <c r="R630" s="160"/>
      <c r="S630" s="160"/>
      <c r="T630" s="160"/>
      <c r="U630" s="160"/>
      <c r="V630" s="160"/>
      <c r="X630" s="160"/>
      <c r="Y630" s="160"/>
      <c r="AA630" s="160"/>
      <c r="AB630" s="160"/>
      <c r="AC630" s="160"/>
      <c r="AD630" s="190"/>
    </row>
    <row r="631" spans="14:30" x14ac:dyDescent="0.25">
      <c r="N631" s="170"/>
      <c r="P631" s="189"/>
      <c r="Q631" s="160"/>
      <c r="R631" s="160"/>
      <c r="S631" s="160"/>
      <c r="T631" s="160"/>
      <c r="U631" s="160"/>
      <c r="V631" s="160"/>
      <c r="X631" s="160"/>
      <c r="Y631" s="160"/>
      <c r="AA631" s="160"/>
      <c r="AB631" s="160"/>
      <c r="AC631" s="160"/>
      <c r="AD631" s="190"/>
    </row>
    <row r="632" spans="14:30" x14ac:dyDescent="0.25">
      <c r="N632" s="170"/>
      <c r="P632" s="189"/>
      <c r="Q632" s="160"/>
      <c r="R632" s="160"/>
      <c r="S632" s="160"/>
      <c r="T632" s="160"/>
      <c r="U632" s="160"/>
      <c r="V632" s="160"/>
      <c r="X632" s="160"/>
      <c r="Y632" s="160"/>
      <c r="AA632" s="160"/>
      <c r="AB632" s="160"/>
      <c r="AC632" s="160"/>
      <c r="AD632" s="190"/>
    </row>
    <row r="633" spans="14:30" x14ac:dyDescent="0.25">
      <c r="N633" s="170"/>
      <c r="P633" s="189"/>
      <c r="Q633" s="160"/>
      <c r="R633" s="160"/>
      <c r="S633" s="160"/>
      <c r="T633" s="160"/>
      <c r="U633" s="160"/>
      <c r="V633" s="160"/>
      <c r="X633" s="160"/>
      <c r="Y633" s="160"/>
      <c r="AA633" s="160"/>
      <c r="AB633" s="160"/>
      <c r="AC633" s="160"/>
      <c r="AD633" s="190"/>
    </row>
    <row r="634" spans="14:30" x14ac:dyDescent="0.25">
      <c r="N634" s="170"/>
      <c r="P634" s="189"/>
      <c r="Q634" s="160"/>
      <c r="R634" s="160"/>
      <c r="S634" s="160"/>
      <c r="T634" s="160"/>
      <c r="U634" s="160"/>
      <c r="V634" s="160"/>
      <c r="X634" s="160"/>
      <c r="Y634" s="160"/>
      <c r="AA634" s="160"/>
      <c r="AB634" s="160"/>
      <c r="AC634" s="160"/>
      <c r="AD634" s="190"/>
    </row>
    <row r="635" spans="14:30" x14ac:dyDescent="0.25">
      <c r="N635" s="170"/>
      <c r="P635" s="189"/>
      <c r="Q635" s="160"/>
      <c r="R635" s="160"/>
      <c r="S635" s="160"/>
      <c r="T635" s="160"/>
      <c r="U635" s="160"/>
      <c r="V635" s="160"/>
      <c r="X635" s="160"/>
      <c r="Y635" s="160"/>
      <c r="AA635" s="160"/>
      <c r="AB635" s="160"/>
      <c r="AC635" s="160"/>
      <c r="AD635" s="190"/>
    </row>
    <row r="636" spans="14:30" x14ac:dyDescent="0.25">
      <c r="N636" s="170"/>
      <c r="P636" s="189"/>
      <c r="Q636" s="160"/>
      <c r="R636" s="160"/>
      <c r="S636" s="160"/>
      <c r="T636" s="160"/>
      <c r="U636" s="160"/>
      <c r="V636" s="160"/>
      <c r="X636" s="160"/>
      <c r="Y636" s="160"/>
      <c r="AA636" s="160"/>
      <c r="AB636" s="160"/>
      <c r="AC636" s="160"/>
      <c r="AD636" s="190"/>
    </row>
    <row r="637" spans="14:30" x14ac:dyDescent="0.25">
      <c r="N637" s="170"/>
      <c r="P637" s="189"/>
      <c r="Q637" s="160"/>
      <c r="R637" s="160"/>
      <c r="S637" s="160"/>
      <c r="T637" s="160"/>
      <c r="U637" s="160"/>
      <c r="V637" s="160"/>
      <c r="X637" s="160"/>
      <c r="Y637" s="160"/>
      <c r="AA637" s="160"/>
      <c r="AB637" s="160"/>
      <c r="AC637" s="160"/>
      <c r="AD637" s="190"/>
    </row>
    <row r="638" spans="14:30" x14ac:dyDescent="0.25">
      <c r="N638" s="170"/>
      <c r="P638" s="189"/>
      <c r="Q638" s="160"/>
      <c r="R638" s="160"/>
      <c r="S638" s="160"/>
      <c r="T638" s="160"/>
      <c r="U638" s="160"/>
      <c r="V638" s="160"/>
      <c r="X638" s="160"/>
      <c r="Y638" s="160"/>
      <c r="AA638" s="160"/>
      <c r="AB638" s="160"/>
      <c r="AC638" s="160"/>
      <c r="AD638" s="190"/>
    </row>
    <row r="639" spans="14:30" x14ac:dyDescent="0.25">
      <c r="N639" s="170"/>
      <c r="P639" s="189"/>
      <c r="Q639" s="160"/>
      <c r="R639" s="160"/>
      <c r="S639" s="160"/>
      <c r="T639" s="160"/>
      <c r="U639" s="160"/>
      <c r="V639" s="160"/>
      <c r="X639" s="160"/>
      <c r="Y639" s="160"/>
      <c r="AA639" s="160"/>
      <c r="AB639" s="160"/>
      <c r="AC639" s="160"/>
      <c r="AD639" s="190"/>
    </row>
    <row r="640" spans="14:30" x14ac:dyDescent="0.25">
      <c r="N640" s="170"/>
      <c r="P640" s="189"/>
      <c r="Q640" s="160"/>
      <c r="R640" s="160"/>
      <c r="S640" s="160"/>
      <c r="T640" s="160"/>
      <c r="U640" s="160"/>
      <c r="V640" s="160"/>
      <c r="X640" s="160"/>
      <c r="Y640" s="160"/>
      <c r="AA640" s="160"/>
      <c r="AB640" s="160"/>
      <c r="AC640" s="160"/>
      <c r="AD640" s="190"/>
    </row>
    <row r="641" spans="14:30" x14ac:dyDescent="0.25">
      <c r="N641" s="170"/>
      <c r="P641" s="189"/>
      <c r="Q641" s="160"/>
      <c r="R641" s="160"/>
      <c r="S641" s="160"/>
      <c r="T641" s="160"/>
      <c r="U641" s="160"/>
      <c r="V641" s="160"/>
      <c r="X641" s="160"/>
      <c r="Y641" s="160"/>
      <c r="AA641" s="160"/>
      <c r="AB641" s="160"/>
      <c r="AC641" s="160"/>
      <c r="AD641" s="190"/>
    </row>
    <row r="642" spans="14:30" x14ac:dyDescent="0.25">
      <c r="N642" s="170"/>
      <c r="P642" s="189"/>
      <c r="Q642" s="160"/>
      <c r="R642" s="160"/>
      <c r="S642" s="160"/>
      <c r="T642" s="160"/>
      <c r="U642" s="160"/>
      <c r="V642" s="160"/>
      <c r="X642" s="160"/>
      <c r="Y642" s="160"/>
      <c r="AA642" s="160"/>
      <c r="AB642" s="160"/>
      <c r="AC642" s="160"/>
      <c r="AD642" s="190"/>
    </row>
    <row r="643" spans="14:30" x14ac:dyDescent="0.25">
      <c r="N643" s="170"/>
      <c r="P643" s="189"/>
      <c r="Q643" s="160"/>
      <c r="R643" s="160"/>
      <c r="S643" s="160"/>
      <c r="T643" s="160"/>
      <c r="U643" s="160"/>
      <c r="V643" s="160"/>
      <c r="X643" s="160"/>
      <c r="Y643" s="160"/>
      <c r="AA643" s="160"/>
      <c r="AB643" s="160"/>
      <c r="AC643" s="160"/>
      <c r="AD643" s="190"/>
    </row>
    <row r="644" spans="14:30" x14ac:dyDescent="0.25">
      <c r="N644" s="170"/>
      <c r="P644" s="189"/>
      <c r="Q644" s="160"/>
      <c r="R644" s="160"/>
      <c r="S644" s="160"/>
      <c r="T644" s="160"/>
      <c r="U644" s="160"/>
      <c r="V644" s="160"/>
      <c r="X644" s="160"/>
      <c r="Y644" s="160"/>
      <c r="AA644" s="160"/>
      <c r="AB644" s="160"/>
      <c r="AC644" s="160"/>
      <c r="AD644" s="190"/>
    </row>
    <row r="645" spans="14:30" x14ac:dyDescent="0.25">
      <c r="N645" s="170"/>
      <c r="P645" s="189"/>
      <c r="Q645" s="160"/>
      <c r="R645" s="160"/>
      <c r="S645" s="160"/>
      <c r="T645" s="160"/>
      <c r="U645" s="160"/>
      <c r="V645" s="160"/>
      <c r="X645" s="160"/>
      <c r="Y645" s="160"/>
      <c r="AA645" s="160"/>
      <c r="AB645" s="160"/>
      <c r="AC645" s="160"/>
      <c r="AD645" s="190"/>
    </row>
    <row r="646" spans="14:30" x14ac:dyDescent="0.25">
      <c r="N646" s="170"/>
      <c r="P646" s="189"/>
      <c r="Q646" s="160"/>
      <c r="R646" s="160"/>
      <c r="S646" s="160"/>
      <c r="T646" s="160"/>
      <c r="U646" s="160"/>
      <c r="V646" s="160"/>
      <c r="X646" s="160"/>
      <c r="Y646" s="160"/>
      <c r="AA646" s="160"/>
      <c r="AB646" s="160"/>
      <c r="AC646" s="160"/>
      <c r="AD646" s="190"/>
    </row>
    <row r="647" spans="14:30" x14ac:dyDescent="0.25">
      <c r="N647" s="170"/>
      <c r="P647" s="189"/>
      <c r="Q647" s="160"/>
      <c r="R647" s="160"/>
      <c r="S647" s="160"/>
      <c r="T647" s="160"/>
      <c r="U647" s="160"/>
      <c r="V647" s="160"/>
      <c r="X647" s="160"/>
      <c r="Y647" s="160"/>
      <c r="AA647" s="160"/>
      <c r="AB647" s="160"/>
      <c r="AC647" s="160"/>
      <c r="AD647" s="190"/>
    </row>
    <row r="648" spans="14:30" x14ac:dyDescent="0.25">
      <c r="N648" s="170"/>
      <c r="P648" s="189"/>
      <c r="Q648" s="160"/>
      <c r="R648" s="160"/>
      <c r="S648" s="160"/>
      <c r="T648" s="160"/>
      <c r="U648" s="160"/>
      <c r="V648" s="160"/>
      <c r="X648" s="160"/>
      <c r="Y648" s="160"/>
      <c r="AA648" s="160"/>
      <c r="AB648" s="160"/>
      <c r="AC648" s="160"/>
      <c r="AD648" s="190"/>
    </row>
    <row r="649" spans="14:30" x14ac:dyDescent="0.25">
      <c r="N649" s="170"/>
      <c r="P649" s="189"/>
      <c r="Q649" s="160"/>
      <c r="R649" s="160"/>
      <c r="S649" s="160"/>
      <c r="T649" s="160"/>
      <c r="U649" s="160"/>
      <c r="V649" s="160"/>
      <c r="X649" s="160"/>
      <c r="Y649" s="160"/>
      <c r="AA649" s="160"/>
      <c r="AB649" s="160"/>
      <c r="AC649" s="160"/>
      <c r="AD649" s="190"/>
    </row>
    <row r="650" spans="14:30" x14ac:dyDescent="0.25">
      <c r="N650" s="170"/>
      <c r="P650" s="189"/>
      <c r="Q650" s="160"/>
      <c r="R650" s="160"/>
      <c r="S650" s="160"/>
      <c r="T650" s="160"/>
      <c r="U650" s="160"/>
      <c r="V650" s="160"/>
      <c r="X650" s="160"/>
      <c r="Y650" s="160"/>
      <c r="AA650" s="160"/>
      <c r="AB650" s="160"/>
      <c r="AC650" s="160"/>
      <c r="AD650" s="190"/>
    </row>
    <row r="651" spans="14:30" x14ac:dyDescent="0.25">
      <c r="N651" s="170"/>
      <c r="P651" s="189"/>
      <c r="Q651" s="160"/>
      <c r="R651" s="160"/>
      <c r="S651" s="160"/>
      <c r="T651" s="160"/>
      <c r="U651" s="160"/>
      <c r="V651" s="160"/>
      <c r="X651" s="160"/>
      <c r="Y651" s="160"/>
      <c r="AA651" s="160"/>
      <c r="AB651" s="160"/>
      <c r="AC651" s="160"/>
      <c r="AD651" s="190"/>
    </row>
    <row r="652" spans="14:30" x14ac:dyDescent="0.25">
      <c r="N652" s="170"/>
      <c r="P652" s="189"/>
      <c r="Q652" s="160"/>
      <c r="R652" s="160"/>
      <c r="S652" s="160"/>
      <c r="T652" s="160"/>
      <c r="U652" s="160"/>
      <c r="V652" s="160"/>
      <c r="X652" s="160"/>
      <c r="Y652" s="160"/>
      <c r="AA652" s="160"/>
      <c r="AB652" s="160"/>
      <c r="AC652" s="160"/>
      <c r="AD652" s="190"/>
    </row>
    <row r="653" spans="14:30" x14ac:dyDescent="0.25">
      <c r="N653" s="170"/>
      <c r="P653" s="189"/>
      <c r="Q653" s="160"/>
      <c r="R653" s="160"/>
      <c r="S653" s="160"/>
      <c r="T653" s="160"/>
      <c r="U653" s="160"/>
      <c r="V653" s="160"/>
      <c r="X653" s="160"/>
      <c r="Y653" s="160"/>
      <c r="AA653" s="160"/>
      <c r="AB653" s="160"/>
      <c r="AC653" s="160"/>
      <c r="AD653" s="190"/>
    </row>
    <row r="654" spans="14:30" x14ac:dyDescent="0.25">
      <c r="N654" s="170"/>
      <c r="P654" s="189"/>
      <c r="Q654" s="160"/>
      <c r="R654" s="160"/>
      <c r="S654" s="160"/>
      <c r="T654" s="160"/>
      <c r="U654" s="160"/>
      <c r="V654" s="160"/>
      <c r="X654" s="160"/>
      <c r="Y654" s="160"/>
      <c r="AA654" s="160"/>
      <c r="AB654" s="160"/>
      <c r="AC654" s="160"/>
      <c r="AD654" s="190"/>
    </row>
    <row r="655" spans="14:30" x14ac:dyDescent="0.25">
      <c r="N655" s="170"/>
      <c r="P655" s="189"/>
      <c r="Q655" s="160"/>
      <c r="R655" s="160"/>
      <c r="S655" s="160"/>
      <c r="T655" s="160"/>
      <c r="U655" s="160"/>
      <c r="V655" s="160"/>
      <c r="X655" s="160"/>
      <c r="Y655" s="160"/>
      <c r="AA655" s="160"/>
      <c r="AB655" s="160"/>
      <c r="AC655" s="160"/>
      <c r="AD655" s="190"/>
    </row>
    <row r="656" spans="14:30" x14ac:dyDescent="0.25">
      <c r="N656" s="170"/>
      <c r="P656" s="189"/>
      <c r="Q656" s="160"/>
      <c r="R656" s="160"/>
      <c r="S656" s="160"/>
      <c r="T656" s="160"/>
      <c r="U656" s="160"/>
      <c r="V656" s="160"/>
      <c r="X656" s="160"/>
      <c r="Y656" s="160"/>
      <c r="AA656" s="160"/>
      <c r="AB656" s="160"/>
      <c r="AC656" s="160"/>
      <c r="AD656" s="190"/>
    </row>
    <row r="657" spans="14:30" x14ac:dyDescent="0.25">
      <c r="N657" s="170"/>
      <c r="P657" s="189"/>
      <c r="Q657" s="160"/>
      <c r="R657" s="160"/>
      <c r="S657" s="160"/>
      <c r="T657" s="160"/>
      <c r="U657" s="160"/>
      <c r="V657" s="160"/>
      <c r="X657" s="160"/>
      <c r="Y657" s="160"/>
      <c r="AA657" s="160"/>
      <c r="AB657" s="160"/>
      <c r="AC657" s="160"/>
      <c r="AD657" s="190"/>
    </row>
    <row r="658" spans="14:30" x14ac:dyDescent="0.25">
      <c r="N658" s="170"/>
      <c r="P658" s="189"/>
      <c r="Q658" s="160"/>
      <c r="R658" s="160"/>
      <c r="S658" s="160"/>
      <c r="T658" s="160"/>
      <c r="U658" s="160"/>
      <c r="V658" s="160"/>
      <c r="X658" s="160"/>
      <c r="Y658" s="160"/>
      <c r="AA658" s="160"/>
      <c r="AB658" s="160"/>
      <c r="AC658" s="160"/>
      <c r="AD658" s="190"/>
    </row>
    <row r="659" spans="14:30" x14ac:dyDescent="0.25">
      <c r="N659" s="170"/>
      <c r="P659" s="189"/>
      <c r="Q659" s="160"/>
      <c r="R659" s="160"/>
      <c r="S659" s="160"/>
      <c r="T659" s="160"/>
      <c r="U659" s="160"/>
      <c r="V659" s="160"/>
      <c r="X659" s="160"/>
      <c r="Y659" s="160"/>
      <c r="AA659" s="160"/>
      <c r="AB659" s="160"/>
      <c r="AC659" s="160"/>
      <c r="AD659" s="190"/>
    </row>
    <row r="660" spans="14:30" x14ac:dyDescent="0.25">
      <c r="N660" s="170"/>
      <c r="P660" s="189"/>
      <c r="Q660" s="160"/>
      <c r="R660" s="160"/>
      <c r="S660" s="160"/>
      <c r="T660" s="160"/>
      <c r="U660" s="160"/>
      <c r="V660" s="160"/>
      <c r="X660" s="160"/>
      <c r="Y660" s="160"/>
      <c r="AA660" s="160"/>
      <c r="AB660" s="160"/>
      <c r="AC660" s="160"/>
      <c r="AD660" s="190"/>
    </row>
    <row r="661" spans="14:30" x14ac:dyDescent="0.25">
      <c r="N661" s="170"/>
      <c r="P661" s="189"/>
      <c r="Q661" s="160"/>
      <c r="R661" s="160"/>
      <c r="S661" s="160"/>
      <c r="T661" s="160"/>
      <c r="U661" s="160"/>
      <c r="V661" s="160"/>
      <c r="X661" s="160"/>
      <c r="Y661" s="160"/>
      <c r="AA661" s="160"/>
      <c r="AB661" s="160"/>
      <c r="AC661" s="160"/>
      <c r="AD661" s="190"/>
    </row>
    <row r="662" spans="14:30" x14ac:dyDescent="0.25">
      <c r="N662" s="170"/>
      <c r="P662" s="189"/>
      <c r="Q662" s="160"/>
      <c r="R662" s="160"/>
      <c r="S662" s="160"/>
      <c r="T662" s="160"/>
      <c r="U662" s="160"/>
      <c r="V662" s="160"/>
      <c r="X662" s="160"/>
      <c r="Y662" s="160"/>
      <c r="AA662" s="160"/>
      <c r="AB662" s="160"/>
      <c r="AC662" s="160"/>
      <c r="AD662" s="190"/>
    </row>
    <row r="663" spans="14:30" x14ac:dyDescent="0.25">
      <c r="N663" s="170"/>
      <c r="P663" s="189"/>
      <c r="Q663" s="160"/>
      <c r="R663" s="160"/>
      <c r="S663" s="160"/>
      <c r="T663" s="160"/>
      <c r="U663" s="160"/>
      <c r="V663" s="160"/>
      <c r="X663" s="160"/>
      <c r="Y663" s="160"/>
      <c r="AA663" s="160"/>
      <c r="AB663" s="160"/>
      <c r="AC663" s="160"/>
      <c r="AD663" s="190"/>
    </row>
    <row r="664" spans="14:30" x14ac:dyDescent="0.25">
      <c r="N664" s="170"/>
      <c r="P664" s="189"/>
      <c r="Q664" s="160"/>
      <c r="R664" s="160"/>
      <c r="S664" s="160"/>
      <c r="T664" s="160"/>
      <c r="U664" s="160"/>
      <c r="V664" s="160"/>
      <c r="X664" s="160"/>
      <c r="Y664" s="160"/>
      <c r="AA664" s="160"/>
      <c r="AB664" s="160"/>
      <c r="AC664" s="160"/>
      <c r="AD664" s="190"/>
    </row>
    <row r="665" spans="14:30" x14ac:dyDescent="0.25">
      <c r="N665" s="170"/>
      <c r="P665" s="189"/>
      <c r="Q665" s="160"/>
      <c r="R665" s="160"/>
      <c r="S665" s="160"/>
      <c r="T665" s="160"/>
      <c r="U665" s="160"/>
      <c r="V665" s="160"/>
      <c r="X665" s="160"/>
      <c r="Y665" s="160"/>
      <c r="AA665" s="160"/>
      <c r="AB665" s="160"/>
      <c r="AC665" s="160"/>
      <c r="AD665" s="190"/>
    </row>
    <row r="666" spans="14:30" x14ac:dyDescent="0.25">
      <c r="N666" s="170"/>
      <c r="P666" s="189"/>
      <c r="Q666" s="160"/>
      <c r="R666" s="160"/>
      <c r="S666" s="160"/>
      <c r="T666" s="160"/>
      <c r="U666" s="160"/>
      <c r="V666" s="160"/>
      <c r="X666" s="160"/>
      <c r="Y666" s="160"/>
      <c r="AA666" s="160"/>
      <c r="AB666" s="160"/>
      <c r="AC666" s="160"/>
      <c r="AD666" s="190"/>
    </row>
    <row r="667" spans="14:30" x14ac:dyDescent="0.25">
      <c r="N667" s="170"/>
      <c r="P667" s="189"/>
      <c r="Q667" s="160"/>
      <c r="R667" s="160"/>
      <c r="S667" s="160"/>
      <c r="T667" s="160"/>
      <c r="U667" s="160"/>
      <c r="V667" s="160"/>
      <c r="X667" s="160"/>
      <c r="Y667" s="160"/>
      <c r="AA667" s="160"/>
      <c r="AB667" s="160"/>
      <c r="AC667" s="160"/>
      <c r="AD667" s="190"/>
    </row>
    <row r="668" spans="14:30" x14ac:dyDescent="0.25">
      <c r="N668" s="170"/>
      <c r="P668" s="189"/>
      <c r="Q668" s="160"/>
      <c r="R668" s="160"/>
      <c r="S668" s="160"/>
      <c r="T668" s="160"/>
      <c r="U668" s="160"/>
      <c r="V668" s="160"/>
      <c r="X668" s="160"/>
      <c r="Y668" s="160"/>
      <c r="AA668" s="160"/>
      <c r="AB668" s="160"/>
      <c r="AC668" s="160"/>
      <c r="AD668" s="190"/>
    </row>
    <row r="669" spans="14:30" x14ac:dyDescent="0.25">
      <c r="N669" s="170"/>
      <c r="P669" s="189"/>
      <c r="Q669" s="160"/>
      <c r="R669" s="160"/>
      <c r="S669" s="160"/>
      <c r="T669" s="160"/>
      <c r="U669" s="160"/>
      <c r="V669" s="160"/>
      <c r="X669" s="160"/>
      <c r="Y669" s="160"/>
      <c r="AA669" s="160"/>
      <c r="AB669" s="160"/>
      <c r="AC669" s="160"/>
      <c r="AD669" s="190"/>
    </row>
    <row r="670" spans="14:30" x14ac:dyDescent="0.25">
      <c r="N670" s="170"/>
      <c r="P670" s="189"/>
      <c r="Q670" s="160"/>
      <c r="R670" s="160"/>
      <c r="S670" s="160"/>
      <c r="T670" s="160"/>
      <c r="U670" s="160"/>
      <c r="V670" s="160"/>
      <c r="X670" s="160"/>
      <c r="Y670" s="160"/>
      <c r="AA670" s="160"/>
      <c r="AB670" s="160"/>
      <c r="AC670" s="160"/>
      <c r="AD670" s="190"/>
    </row>
    <row r="671" spans="14:30" x14ac:dyDescent="0.25">
      <c r="N671" s="170"/>
      <c r="P671" s="189"/>
      <c r="Q671" s="160"/>
      <c r="R671" s="160"/>
      <c r="S671" s="160"/>
      <c r="T671" s="160"/>
      <c r="U671" s="160"/>
      <c r="V671" s="160"/>
      <c r="X671" s="160"/>
      <c r="Y671" s="160"/>
      <c r="AA671" s="160"/>
      <c r="AB671" s="160"/>
      <c r="AC671" s="160"/>
      <c r="AD671" s="190"/>
    </row>
    <row r="672" spans="14:30" x14ac:dyDescent="0.25">
      <c r="N672" s="170"/>
      <c r="P672" s="189"/>
      <c r="Q672" s="160"/>
      <c r="R672" s="160"/>
      <c r="S672" s="160"/>
      <c r="T672" s="160"/>
      <c r="U672" s="160"/>
      <c r="V672" s="160"/>
      <c r="X672" s="160"/>
      <c r="Y672" s="160"/>
      <c r="AA672" s="160"/>
      <c r="AB672" s="160"/>
      <c r="AC672" s="160"/>
      <c r="AD672" s="190"/>
    </row>
    <row r="673" spans="14:30" x14ac:dyDescent="0.25">
      <c r="N673" s="170"/>
      <c r="P673" s="189"/>
      <c r="Q673" s="160"/>
      <c r="R673" s="160"/>
      <c r="S673" s="160"/>
      <c r="T673" s="160"/>
      <c r="U673" s="160"/>
      <c r="V673" s="160"/>
      <c r="X673" s="160"/>
      <c r="Y673" s="160"/>
      <c r="AA673" s="160"/>
      <c r="AB673" s="160"/>
      <c r="AC673" s="160"/>
      <c r="AD673" s="190"/>
    </row>
    <row r="674" spans="14:30" x14ac:dyDescent="0.25">
      <c r="N674" s="170"/>
      <c r="P674" s="189"/>
      <c r="Q674" s="160"/>
      <c r="R674" s="160"/>
      <c r="S674" s="160"/>
      <c r="T674" s="160"/>
      <c r="U674" s="160"/>
      <c r="V674" s="160"/>
      <c r="X674" s="160"/>
      <c r="Y674" s="160"/>
      <c r="AA674" s="160"/>
      <c r="AB674" s="160"/>
      <c r="AC674" s="160"/>
      <c r="AD674" s="190"/>
    </row>
    <row r="675" spans="14:30" x14ac:dyDescent="0.25">
      <c r="N675" s="170"/>
      <c r="P675" s="189"/>
      <c r="Q675" s="160"/>
      <c r="R675" s="160"/>
      <c r="S675" s="160"/>
      <c r="T675" s="160"/>
      <c r="U675" s="160"/>
      <c r="V675" s="160"/>
      <c r="X675" s="160"/>
      <c r="Y675" s="160"/>
      <c r="AA675" s="160"/>
      <c r="AB675" s="160"/>
      <c r="AC675" s="160"/>
      <c r="AD675" s="190"/>
    </row>
    <row r="676" spans="14:30" x14ac:dyDescent="0.25">
      <c r="N676" s="170"/>
      <c r="P676" s="189"/>
      <c r="Q676" s="160"/>
      <c r="R676" s="160"/>
      <c r="S676" s="160"/>
      <c r="T676" s="160"/>
      <c r="U676" s="160"/>
      <c r="V676" s="160"/>
      <c r="X676" s="160"/>
      <c r="Y676" s="160"/>
      <c r="AA676" s="160"/>
      <c r="AB676" s="160"/>
      <c r="AC676" s="160"/>
      <c r="AD676" s="190"/>
    </row>
    <row r="677" spans="14:30" x14ac:dyDescent="0.25">
      <c r="N677" s="170"/>
      <c r="P677" s="189"/>
      <c r="Q677" s="160"/>
      <c r="R677" s="160"/>
      <c r="S677" s="160"/>
      <c r="T677" s="160"/>
      <c r="U677" s="160"/>
      <c r="V677" s="160"/>
      <c r="X677" s="160"/>
      <c r="Y677" s="160"/>
      <c r="AA677" s="160"/>
      <c r="AB677" s="160"/>
      <c r="AC677" s="160"/>
      <c r="AD677" s="190"/>
    </row>
    <row r="678" spans="14:30" x14ac:dyDescent="0.25">
      <c r="N678" s="170"/>
      <c r="P678" s="189"/>
      <c r="Q678" s="160"/>
      <c r="R678" s="160"/>
      <c r="S678" s="160"/>
      <c r="T678" s="160"/>
      <c r="U678" s="160"/>
      <c r="V678" s="160"/>
      <c r="X678" s="160"/>
      <c r="Y678" s="160"/>
      <c r="AA678" s="160"/>
      <c r="AB678" s="160"/>
      <c r="AC678" s="160"/>
      <c r="AD678" s="190"/>
    </row>
    <row r="679" spans="14:30" x14ac:dyDescent="0.25">
      <c r="N679" s="170"/>
      <c r="P679" s="189"/>
      <c r="Q679" s="160"/>
      <c r="R679" s="160"/>
      <c r="S679" s="160"/>
      <c r="T679" s="160"/>
      <c r="U679" s="160"/>
      <c r="V679" s="160"/>
      <c r="X679" s="160"/>
      <c r="Y679" s="160"/>
      <c r="AA679" s="160"/>
      <c r="AB679" s="160"/>
      <c r="AC679" s="160"/>
      <c r="AD679" s="190"/>
    </row>
    <row r="680" spans="14:30" x14ac:dyDescent="0.25">
      <c r="N680" s="170"/>
      <c r="P680" s="189"/>
      <c r="Q680" s="160"/>
      <c r="R680" s="160"/>
      <c r="S680" s="160"/>
      <c r="T680" s="160"/>
      <c r="U680" s="160"/>
      <c r="V680" s="160"/>
      <c r="X680" s="160"/>
      <c r="Y680" s="160"/>
      <c r="AA680" s="160"/>
      <c r="AB680" s="160"/>
      <c r="AC680" s="160"/>
      <c r="AD680" s="190"/>
    </row>
    <row r="681" spans="14:30" x14ac:dyDescent="0.25">
      <c r="N681" s="170"/>
      <c r="P681" s="189"/>
      <c r="Q681" s="160"/>
      <c r="R681" s="160"/>
      <c r="S681" s="160"/>
      <c r="T681" s="160"/>
      <c r="U681" s="160"/>
      <c r="V681" s="160"/>
      <c r="X681" s="160"/>
      <c r="Y681" s="160"/>
      <c r="AA681" s="160"/>
      <c r="AB681" s="160"/>
      <c r="AC681" s="160"/>
      <c r="AD681" s="190"/>
    </row>
    <row r="682" spans="14:30" x14ac:dyDescent="0.25">
      <c r="N682" s="170"/>
      <c r="P682" s="189"/>
      <c r="Q682" s="160"/>
      <c r="R682" s="160"/>
      <c r="S682" s="160"/>
      <c r="T682" s="160"/>
      <c r="U682" s="160"/>
      <c r="V682" s="160"/>
      <c r="X682" s="160"/>
      <c r="Y682" s="160"/>
      <c r="AA682" s="160"/>
      <c r="AB682" s="160"/>
      <c r="AC682" s="160"/>
      <c r="AD682" s="190"/>
    </row>
    <row r="683" spans="14:30" x14ac:dyDescent="0.25">
      <c r="N683" s="170"/>
      <c r="P683" s="189"/>
      <c r="Q683" s="160"/>
      <c r="R683" s="160"/>
      <c r="S683" s="160"/>
      <c r="T683" s="160"/>
      <c r="U683" s="160"/>
      <c r="V683" s="160"/>
      <c r="X683" s="160"/>
      <c r="Y683" s="160"/>
      <c r="AA683" s="160"/>
      <c r="AB683" s="160"/>
      <c r="AC683" s="160"/>
      <c r="AD683" s="190"/>
    </row>
    <row r="684" spans="14:30" x14ac:dyDescent="0.25">
      <c r="N684" s="170"/>
      <c r="P684" s="189"/>
      <c r="Q684" s="160"/>
      <c r="R684" s="160"/>
      <c r="S684" s="160"/>
      <c r="T684" s="160"/>
      <c r="U684" s="160"/>
      <c r="V684" s="160"/>
      <c r="X684" s="160"/>
      <c r="Y684" s="160"/>
      <c r="AA684" s="160"/>
      <c r="AB684" s="160"/>
      <c r="AC684" s="160"/>
      <c r="AD684" s="190"/>
    </row>
    <row r="685" spans="14:30" x14ac:dyDescent="0.25">
      <c r="N685" s="170"/>
      <c r="P685" s="189"/>
      <c r="Q685" s="160"/>
      <c r="R685" s="160"/>
      <c r="S685" s="160"/>
      <c r="T685" s="160"/>
      <c r="U685" s="160"/>
      <c r="V685" s="160"/>
      <c r="X685" s="160"/>
      <c r="Y685" s="160"/>
      <c r="AA685" s="160"/>
      <c r="AB685" s="160"/>
      <c r="AC685" s="160"/>
      <c r="AD685" s="190"/>
    </row>
    <row r="686" spans="14:30" x14ac:dyDescent="0.25">
      <c r="N686" s="170"/>
      <c r="P686" s="189"/>
      <c r="Q686" s="160"/>
      <c r="R686" s="160"/>
      <c r="S686" s="160"/>
      <c r="T686" s="160"/>
      <c r="U686" s="160"/>
      <c r="V686" s="160"/>
      <c r="X686" s="160"/>
      <c r="Y686" s="160"/>
      <c r="AA686" s="160"/>
      <c r="AB686" s="160"/>
      <c r="AC686" s="160"/>
      <c r="AD686" s="190"/>
    </row>
    <row r="687" spans="14:30" x14ac:dyDescent="0.25">
      <c r="N687" s="170"/>
      <c r="P687" s="189"/>
      <c r="Q687" s="160"/>
      <c r="R687" s="160"/>
      <c r="S687" s="160"/>
      <c r="T687" s="160"/>
      <c r="U687" s="160"/>
      <c r="V687" s="160"/>
      <c r="X687" s="160"/>
      <c r="Y687" s="160"/>
      <c r="AA687" s="160"/>
      <c r="AB687" s="160"/>
      <c r="AC687" s="160"/>
      <c r="AD687" s="190"/>
    </row>
    <row r="688" spans="14:30" x14ac:dyDescent="0.25">
      <c r="N688" s="170"/>
      <c r="P688" s="189"/>
      <c r="Q688" s="160"/>
      <c r="R688" s="160"/>
      <c r="S688" s="160"/>
      <c r="T688" s="160"/>
      <c r="U688" s="160"/>
      <c r="V688" s="160"/>
      <c r="X688" s="160"/>
      <c r="Y688" s="160"/>
      <c r="AA688" s="160"/>
      <c r="AB688" s="160"/>
      <c r="AC688" s="160"/>
      <c r="AD688" s="190"/>
    </row>
    <row r="689" spans="14:30" x14ac:dyDescent="0.25">
      <c r="N689" s="170"/>
      <c r="P689" s="189"/>
      <c r="Q689" s="160"/>
      <c r="R689" s="160"/>
      <c r="S689" s="160"/>
      <c r="T689" s="160"/>
      <c r="U689" s="160"/>
      <c r="V689" s="160"/>
      <c r="X689" s="160"/>
      <c r="Y689" s="160"/>
      <c r="AA689" s="160"/>
      <c r="AB689" s="160"/>
      <c r="AC689" s="160"/>
      <c r="AD689" s="190"/>
    </row>
    <row r="690" spans="14:30" x14ac:dyDescent="0.25">
      <c r="N690" s="170"/>
      <c r="P690" s="189"/>
      <c r="Q690" s="160"/>
      <c r="R690" s="160"/>
      <c r="S690" s="160"/>
      <c r="T690" s="160"/>
      <c r="U690" s="160"/>
      <c r="V690" s="160"/>
      <c r="X690" s="160"/>
      <c r="Y690" s="160"/>
      <c r="AA690" s="160"/>
      <c r="AB690" s="160"/>
      <c r="AC690" s="160"/>
      <c r="AD690" s="190"/>
    </row>
    <row r="691" spans="14:30" x14ac:dyDescent="0.25">
      <c r="N691" s="170"/>
      <c r="P691" s="189"/>
      <c r="Q691" s="160"/>
      <c r="R691" s="160"/>
      <c r="S691" s="160"/>
      <c r="T691" s="160"/>
      <c r="U691" s="160"/>
      <c r="V691" s="160"/>
      <c r="X691" s="160"/>
      <c r="Y691" s="160"/>
      <c r="AA691" s="160"/>
      <c r="AB691" s="160"/>
      <c r="AC691" s="160"/>
      <c r="AD691" s="190"/>
    </row>
    <row r="692" spans="14:30" x14ac:dyDescent="0.25">
      <c r="N692" s="170"/>
      <c r="P692" s="189"/>
      <c r="Q692" s="160"/>
      <c r="R692" s="160"/>
      <c r="S692" s="160"/>
      <c r="T692" s="160"/>
      <c r="U692" s="160"/>
      <c r="V692" s="160"/>
      <c r="X692" s="160"/>
      <c r="Y692" s="160"/>
      <c r="AA692" s="160"/>
      <c r="AB692" s="160"/>
      <c r="AC692" s="160"/>
      <c r="AD692" s="190"/>
    </row>
    <row r="693" spans="14:30" x14ac:dyDescent="0.25">
      <c r="N693" s="170"/>
      <c r="P693" s="189"/>
      <c r="Q693" s="160"/>
      <c r="R693" s="160"/>
      <c r="S693" s="160"/>
      <c r="T693" s="160"/>
      <c r="U693" s="160"/>
      <c r="V693" s="160"/>
      <c r="X693" s="160"/>
      <c r="Y693" s="160"/>
      <c r="AA693" s="160"/>
      <c r="AB693" s="160"/>
      <c r="AC693" s="160"/>
      <c r="AD693" s="190"/>
    </row>
    <row r="694" spans="14:30" x14ac:dyDescent="0.25">
      <c r="N694" s="170"/>
      <c r="P694" s="189"/>
      <c r="Q694" s="160"/>
      <c r="R694" s="160"/>
      <c r="S694" s="160"/>
      <c r="T694" s="160"/>
      <c r="U694" s="160"/>
      <c r="V694" s="160"/>
      <c r="X694" s="160"/>
      <c r="Y694" s="160"/>
      <c r="AA694" s="160"/>
      <c r="AB694" s="160"/>
      <c r="AC694" s="160"/>
      <c r="AD694" s="190"/>
    </row>
    <row r="695" spans="14:30" x14ac:dyDescent="0.25">
      <c r="N695" s="170"/>
      <c r="P695" s="189"/>
      <c r="Q695" s="160"/>
      <c r="R695" s="160"/>
      <c r="S695" s="160"/>
      <c r="T695" s="160"/>
      <c r="U695" s="160"/>
      <c r="V695" s="160"/>
      <c r="X695" s="160"/>
      <c r="Y695" s="160"/>
      <c r="AA695" s="160"/>
      <c r="AB695" s="160"/>
      <c r="AC695" s="160"/>
      <c r="AD695" s="190"/>
    </row>
    <row r="696" spans="14:30" x14ac:dyDescent="0.25">
      <c r="N696" s="170"/>
      <c r="P696" s="189"/>
      <c r="Q696" s="160"/>
      <c r="R696" s="160"/>
      <c r="S696" s="160"/>
      <c r="T696" s="160"/>
      <c r="U696" s="160"/>
      <c r="V696" s="160"/>
      <c r="X696" s="160"/>
      <c r="Y696" s="160"/>
      <c r="AA696" s="160"/>
      <c r="AB696" s="160"/>
      <c r="AC696" s="160"/>
      <c r="AD696" s="190"/>
    </row>
    <row r="697" spans="14:30" x14ac:dyDescent="0.25">
      <c r="N697" s="170"/>
      <c r="P697" s="189"/>
      <c r="Q697" s="160"/>
      <c r="R697" s="160"/>
      <c r="S697" s="160"/>
      <c r="T697" s="160"/>
      <c r="U697" s="160"/>
      <c r="V697" s="160"/>
      <c r="X697" s="160"/>
      <c r="Y697" s="160"/>
      <c r="AA697" s="160"/>
      <c r="AB697" s="160"/>
      <c r="AC697" s="160"/>
      <c r="AD697" s="190"/>
    </row>
    <row r="698" spans="14:30" x14ac:dyDescent="0.25">
      <c r="N698" s="170"/>
      <c r="P698" s="189"/>
      <c r="Q698" s="160"/>
      <c r="R698" s="160"/>
      <c r="S698" s="160"/>
      <c r="T698" s="160"/>
      <c r="U698" s="160"/>
      <c r="V698" s="160"/>
      <c r="X698" s="160"/>
      <c r="Y698" s="160"/>
      <c r="AA698" s="160"/>
      <c r="AB698" s="160"/>
      <c r="AC698" s="160"/>
      <c r="AD698" s="190"/>
    </row>
    <row r="699" spans="14:30" x14ac:dyDescent="0.25">
      <c r="N699" s="170"/>
      <c r="P699" s="189"/>
      <c r="Q699" s="160"/>
      <c r="R699" s="160"/>
      <c r="S699" s="160"/>
      <c r="T699" s="160"/>
      <c r="U699" s="160"/>
      <c r="V699" s="160"/>
      <c r="X699" s="160"/>
      <c r="Y699" s="160"/>
      <c r="AA699" s="160"/>
      <c r="AB699" s="160"/>
      <c r="AC699" s="160"/>
      <c r="AD699" s="190"/>
    </row>
    <row r="700" spans="14:30" x14ac:dyDescent="0.25">
      <c r="N700" s="170"/>
      <c r="P700" s="189"/>
      <c r="Q700" s="160"/>
      <c r="R700" s="160"/>
      <c r="S700" s="160"/>
      <c r="T700" s="160"/>
      <c r="U700" s="160"/>
      <c r="V700" s="160"/>
      <c r="X700" s="160"/>
      <c r="Y700" s="160"/>
      <c r="AA700" s="160"/>
      <c r="AB700" s="160"/>
      <c r="AC700" s="160"/>
      <c r="AD700" s="190"/>
    </row>
    <row r="701" spans="14:30" x14ac:dyDescent="0.25">
      <c r="N701" s="170"/>
      <c r="P701" s="189"/>
      <c r="Q701" s="160"/>
      <c r="R701" s="160"/>
      <c r="S701" s="160"/>
      <c r="T701" s="160"/>
      <c r="U701" s="160"/>
      <c r="V701" s="160"/>
      <c r="X701" s="160"/>
      <c r="Y701" s="160"/>
      <c r="AA701" s="160"/>
      <c r="AB701" s="160"/>
      <c r="AC701" s="160"/>
      <c r="AD701" s="190"/>
    </row>
    <row r="702" spans="14:30" x14ac:dyDescent="0.25">
      <c r="N702" s="170"/>
      <c r="P702" s="189"/>
      <c r="Q702" s="160"/>
      <c r="R702" s="160"/>
      <c r="S702" s="160"/>
      <c r="T702" s="160"/>
      <c r="U702" s="160"/>
      <c r="V702" s="160"/>
      <c r="X702" s="160"/>
      <c r="Y702" s="160"/>
      <c r="AA702" s="160"/>
      <c r="AB702" s="160"/>
      <c r="AC702" s="160"/>
      <c r="AD702" s="190"/>
    </row>
    <row r="703" spans="14:30" x14ac:dyDescent="0.25">
      <c r="N703" s="170"/>
      <c r="P703" s="189"/>
      <c r="Q703" s="160"/>
      <c r="R703" s="160"/>
      <c r="S703" s="160"/>
      <c r="T703" s="160"/>
      <c r="U703" s="160"/>
      <c r="V703" s="160"/>
      <c r="X703" s="160"/>
      <c r="Y703" s="160"/>
      <c r="AA703" s="160"/>
      <c r="AB703" s="160"/>
      <c r="AC703" s="160"/>
      <c r="AD703" s="190"/>
    </row>
    <row r="704" spans="14:30" x14ac:dyDescent="0.25">
      <c r="N704" s="170"/>
      <c r="P704" s="189"/>
      <c r="Q704" s="160"/>
      <c r="R704" s="160"/>
      <c r="S704" s="160"/>
      <c r="T704" s="160"/>
      <c r="U704" s="160"/>
      <c r="V704" s="160"/>
      <c r="X704" s="160"/>
      <c r="Y704" s="160"/>
      <c r="AA704" s="160"/>
      <c r="AB704" s="160"/>
      <c r="AC704" s="160"/>
      <c r="AD704" s="190"/>
    </row>
    <row r="705" spans="14:30" x14ac:dyDescent="0.25">
      <c r="N705" s="170"/>
      <c r="P705" s="189"/>
      <c r="Q705" s="160"/>
      <c r="R705" s="160"/>
      <c r="S705" s="160"/>
      <c r="T705" s="160"/>
      <c r="U705" s="160"/>
      <c r="V705" s="160"/>
      <c r="X705" s="160"/>
      <c r="Y705" s="160"/>
      <c r="AA705" s="160"/>
      <c r="AB705" s="160"/>
      <c r="AC705" s="160"/>
      <c r="AD705" s="190"/>
    </row>
    <row r="706" spans="14:30" x14ac:dyDescent="0.25">
      <c r="N706" s="170"/>
      <c r="P706" s="189"/>
      <c r="Q706" s="160"/>
      <c r="R706" s="160"/>
      <c r="S706" s="160"/>
      <c r="T706" s="160"/>
      <c r="U706" s="160"/>
      <c r="V706" s="160"/>
      <c r="X706" s="160"/>
      <c r="Y706" s="160"/>
      <c r="AA706" s="160"/>
      <c r="AB706" s="160"/>
      <c r="AC706" s="160"/>
      <c r="AD706" s="190"/>
    </row>
    <row r="707" spans="14:30" x14ac:dyDescent="0.25">
      <c r="N707" s="170"/>
      <c r="P707" s="189"/>
      <c r="Q707" s="160"/>
      <c r="R707" s="160"/>
      <c r="S707" s="160"/>
      <c r="T707" s="160"/>
      <c r="U707" s="160"/>
      <c r="V707" s="160"/>
      <c r="X707" s="160"/>
      <c r="Y707" s="160"/>
      <c r="AA707" s="160"/>
      <c r="AB707" s="160"/>
      <c r="AC707" s="160"/>
      <c r="AD707" s="190"/>
    </row>
    <row r="708" spans="14:30" x14ac:dyDescent="0.25">
      <c r="N708" s="170"/>
      <c r="P708" s="189"/>
      <c r="Q708" s="160"/>
      <c r="R708" s="160"/>
      <c r="S708" s="160"/>
      <c r="T708" s="160"/>
      <c r="U708" s="160"/>
      <c r="V708" s="160"/>
      <c r="X708" s="160"/>
      <c r="Y708" s="160"/>
      <c r="AA708" s="160"/>
      <c r="AB708" s="160"/>
      <c r="AC708" s="160"/>
      <c r="AD708" s="190"/>
    </row>
  </sheetData>
  <mergeCells count="29">
    <mergeCell ref="AP17:AR17"/>
    <mergeCell ref="AC17:AE17"/>
    <mergeCell ref="AS16:AU16"/>
    <mergeCell ref="AS17:AU17"/>
    <mergeCell ref="AG17:AI17"/>
    <mergeCell ref="AJ17:AL17"/>
    <mergeCell ref="AM17:AO17"/>
    <mergeCell ref="AF16:AR16"/>
    <mergeCell ref="AF4:AR4"/>
    <mergeCell ref="AS4:AU4"/>
    <mergeCell ref="Q5:S5"/>
    <mergeCell ref="T5:V5"/>
    <mergeCell ref="W5:Y5"/>
    <mergeCell ref="Z5:AB5"/>
    <mergeCell ref="AC5:AE5"/>
    <mergeCell ref="AG5:AI5"/>
    <mergeCell ref="AJ5:AL5"/>
    <mergeCell ref="AM5:AO5"/>
    <mergeCell ref="AP5:AR5"/>
    <mergeCell ref="AS5:AU5"/>
    <mergeCell ref="A1:M1"/>
    <mergeCell ref="E6:K6"/>
    <mergeCell ref="Q17:S17"/>
    <mergeCell ref="T17:V17"/>
    <mergeCell ref="W17:Y17"/>
    <mergeCell ref="P16:AE16"/>
    <mergeCell ref="Z17:AB17"/>
    <mergeCell ref="N1:X1"/>
    <mergeCell ref="P4:AE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3"/>
  <sheetViews>
    <sheetView zoomScale="70" zoomScaleNormal="70" workbookViewId="0">
      <selection activeCell="B51" sqref="B51"/>
    </sheetView>
  </sheetViews>
  <sheetFormatPr defaultRowHeight="15" x14ac:dyDescent="0.25"/>
  <cols>
    <col min="1" max="1" width="26.7109375" customWidth="1"/>
    <col min="2" max="2" width="25.5703125" customWidth="1"/>
    <col min="3" max="3" width="10.140625" customWidth="1"/>
  </cols>
  <sheetData>
    <row r="1" spans="1:9" ht="27.75" x14ac:dyDescent="0.4">
      <c r="A1" s="229" t="s">
        <v>80</v>
      </c>
      <c r="B1" s="229"/>
      <c r="C1" s="229"/>
      <c r="D1" s="229"/>
      <c r="E1" s="229"/>
      <c r="F1" s="229"/>
      <c r="G1" s="229"/>
      <c r="H1" s="229"/>
      <c r="I1" s="229"/>
    </row>
    <row r="2" spans="1:9" x14ac:dyDescent="0.25">
      <c r="A2" s="5"/>
      <c r="B2" s="5" t="s">
        <v>16</v>
      </c>
      <c r="C2" s="6"/>
      <c r="D2" s="4"/>
      <c r="E2" s="5"/>
      <c r="F2" s="5"/>
      <c r="G2" s="5"/>
      <c r="H2" s="5"/>
      <c r="I2" s="5"/>
    </row>
    <row r="3" spans="1:9" x14ac:dyDescent="0.25">
      <c r="A3" s="5"/>
      <c r="B3" s="5" t="s">
        <v>17</v>
      </c>
      <c r="C3" s="7"/>
      <c r="D3" s="4"/>
      <c r="E3" s="5"/>
      <c r="F3" s="5"/>
      <c r="G3" s="5"/>
      <c r="H3" s="5"/>
      <c r="I3" s="5"/>
    </row>
    <row r="4" spans="1:9" x14ac:dyDescent="0.25">
      <c r="A4" s="5"/>
      <c r="B4" s="5" t="s">
        <v>18</v>
      </c>
      <c r="C4" s="8"/>
      <c r="D4" s="4"/>
      <c r="E4" s="5"/>
      <c r="F4" s="5"/>
      <c r="G4" s="5"/>
      <c r="H4" s="5"/>
      <c r="I4" s="5"/>
    </row>
    <row r="5" spans="1:9" x14ac:dyDescent="0.25">
      <c r="A5" s="9" t="s">
        <v>19</v>
      </c>
      <c r="B5" s="9" t="s">
        <v>20</v>
      </c>
      <c r="C5" s="9" t="s">
        <v>21</v>
      </c>
      <c r="D5" s="4"/>
      <c r="E5" s="230" t="s">
        <v>22</v>
      </c>
      <c r="F5" s="230"/>
      <c r="G5" s="230"/>
      <c r="H5" s="230"/>
      <c r="I5" s="9"/>
    </row>
    <row r="6" spans="1:9" x14ac:dyDescent="0.25">
      <c r="A6" s="9"/>
      <c r="B6" s="9"/>
      <c r="C6" s="9"/>
      <c r="D6" s="4"/>
      <c r="E6" s="5"/>
      <c r="F6" s="5"/>
      <c r="G6" s="5"/>
      <c r="H6" s="5"/>
      <c r="I6" s="9"/>
    </row>
    <row r="7" spans="1:9" x14ac:dyDescent="0.25">
      <c r="A7" s="9" t="s">
        <v>58</v>
      </c>
      <c r="B7" s="9"/>
      <c r="C7" s="9"/>
      <c r="D7" s="4"/>
      <c r="E7" s="5"/>
      <c r="F7" s="5"/>
      <c r="G7" s="5"/>
      <c r="H7" s="5"/>
      <c r="I7" s="9"/>
    </row>
    <row r="8" spans="1:9" x14ac:dyDescent="0.25">
      <c r="A8" s="9"/>
      <c r="B8" s="9"/>
      <c r="C8" s="9"/>
      <c r="D8" s="4"/>
      <c r="E8" s="5"/>
      <c r="F8" s="5"/>
      <c r="G8" s="5"/>
      <c r="H8" s="5"/>
      <c r="I8" s="9"/>
    </row>
    <row r="9" spans="1:9" x14ac:dyDescent="0.25">
      <c r="A9" t="s">
        <v>47</v>
      </c>
      <c r="B9" s="12">
        <v>0.8</v>
      </c>
      <c r="D9" t="s">
        <v>50</v>
      </c>
    </row>
    <row r="10" spans="1:9" x14ac:dyDescent="0.25">
      <c r="A10" t="s">
        <v>51</v>
      </c>
      <c r="B10" s="13">
        <f>(1-B9)/(2.2*10^6)</f>
        <v>9.0909090909090888E-8</v>
      </c>
      <c r="C10" t="s">
        <v>54</v>
      </c>
      <c r="D10" t="s">
        <v>57</v>
      </c>
    </row>
    <row r="11" spans="1:9" x14ac:dyDescent="0.25">
      <c r="A11" t="s">
        <v>48</v>
      </c>
      <c r="B11" s="12">
        <v>0.85</v>
      </c>
      <c r="D11" t="s">
        <v>50</v>
      </c>
    </row>
    <row r="12" spans="1:9" x14ac:dyDescent="0.25">
      <c r="A12" t="s">
        <v>52</v>
      </c>
      <c r="B12" s="13">
        <f>(1-B11)/(2.2*10^6)</f>
        <v>6.8181818181818186E-8</v>
      </c>
      <c r="C12" t="s">
        <v>54</v>
      </c>
      <c r="D12" t="s">
        <v>56</v>
      </c>
    </row>
    <row r="13" spans="1:9" x14ac:dyDescent="0.25">
      <c r="A13" t="s">
        <v>49</v>
      </c>
      <c r="B13" s="12">
        <v>0.9</v>
      </c>
      <c r="D13" t="s">
        <v>50</v>
      </c>
    </row>
    <row r="14" spans="1:9" x14ac:dyDescent="0.25">
      <c r="A14" t="s">
        <v>53</v>
      </c>
      <c r="B14" s="13">
        <f>(1-B13)/(2.2*10^6)</f>
        <v>4.5454545454545444E-8</v>
      </c>
      <c r="C14" t="s">
        <v>54</v>
      </c>
      <c r="D14" t="s">
        <v>55</v>
      </c>
    </row>
    <row r="16" spans="1:9" x14ac:dyDescent="0.25">
      <c r="A16" t="s">
        <v>59</v>
      </c>
      <c r="B16" s="12">
        <v>0.9</v>
      </c>
      <c r="D16" t="s">
        <v>65</v>
      </c>
    </row>
    <row r="17" spans="1:4" x14ac:dyDescent="0.25">
      <c r="A17" t="s">
        <v>60</v>
      </c>
      <c r="B17" s="12">
        <v>0.93</v>
      </c>
      <c r="D17" t="s">
        <v>62</v>
      </c>
    </row>
    <row r="18" spans="1:4" x14ac:dyDescent="0.25">
      <c r="A18" t="s">
        <v>61</v>
      </c>
      <c r="B18" s="12">
        <v>0.96</v>
      </c>
      <c r="D18" t="s">
        <v>66</v>
      </c>
    </row>
    <row r="19" spans="1:4" x14ac:dyDescent="0.25">
      <c r="B19">
        <f>IF(((1-D_limit_nom)/Constants!B12)&lt;Fsw,2,1)</f>
        <v>1</v>
      </c>
      <c r="D19" t="s">
        <v>72</v>
      </c>
    </row>
    <row r="20" spans="1:4" x14ac:dyDescent="0.25">
      <c r="A20" t="s">
        <v>78</v>
      </c>
      <c r="B20" s="1">
        <f>CHOOSE(B19,D_limit_nom,(1-Constants!B12*Fsw))</f>
        <v>0.93</v>
      </c>
      <c r="D20" t="s">
        <v>79</v>
      </c>
    </row>
    <row r="22" spans="1:4" x14ac:dyDescent="0.25">
      <c r="A22" t="s">
        <v>88</v>
      </c>
      <c r="B22" s="12">
        <f>50*10^-9</f>
        <v>5.0000000000000004E-8</v>
      </c>
      <c r="C22" t="s">
        <v>54</v>
      </c>
      <c r="D22" t="s">
        <v>89</v>
      </c>
    </row>
    <row r="23" spans="1:4" x14ac:dyDescent="0.25">
      <c r="B23" s="12"/>
    </row>
    <row r="24" spans="1:4" ht="15.75" x14ac:dyDescent="0.25">
      <c r="A24" s="29" t="s">
        <v>171</v>
      </c>
    </row>
    <row r="25" spans="1:4" x14ac:dyDescent="0.25">
      <c r="A25" t="s">
        <v>144</v>
      </c>
      <c r="B25" s="12">
        <f>30*10^-6</f>
        <v>2.9999999999999997E-5</v>
      </c>
      <c r="C25" t="s">
        <v>11</v>
      </c>
      <c r="D25" t="s">
        <v>145</v>
      </c>
    </row>
    <row r="26" spans="1:4" x14ac:dyDescent="0.25">
      <c r="A26" t="s">
        <v>146</v>
      </c>
      <c r="B26" s="12">
        <v>1333</v>
      </c>
      <c r="C26" s="2" t="s">
        <v>36</v>
      </c>
      <c r="D26" t="s">
        <v>147</v>
      </c>
    </row>
    <row r="27" spans="1:4" x14ac:dyDescent="0.25">
      <c r="A27" t="s">
        <v>150</v>
      </c>
      <c r="B27" s="12">
        <f>0.1</f>
        <v>0.1</v>
      </c>
      <c r="C27" s="2" t="s">
        <v>10</v>
      </c>
      <c r="D27" t="s">
        <v>151</v>
      </c>
    </row>
    <row r="28" spans="1:4" x14ac:dyDescent="0.25">
      <c r="A28" t="s">
        <v>520</v>
      </c>
      <c r="B28" s="12">
        <v>2000</v>
      </c>
      <c r="C28" s="2" t="s">
        <v>36</v>
      </c>
      <c r="D28" t="s">
        <v>521</v>
      </c>
    </row>
    <row r="29" spans="1:4" x14ac:dyDescent="0.25">
      <c r="A29" t="s">
        <v>236</v>
      </c>
      <c r="B29" s="12">
        <f>0.145</f>
        <v>0.14499999999999999</v>
      </c>
      <c r="C29" t="s">
        <v>180</v>
      </c>
      <c r="D29" t="s">
        <v>238</v>
      </c>
    </row>
    <row r="30" spans="1:4" x14ac:dyDescent="0.25">
      <c r="A30" t="s">
        <v>240</v>
      </c>
      <c r="B30" s="12">
        <v>1</v>
      </c>
      <c r="C30" t="s">
        <v>180</v>
      </c>
      <c r="D30" t="s">
        <v>241</v>
      </c>
    </row>
    <row r="32" spans="1:4" x14ac:dyDescent="0.25">
      <c r="A32" s="33" t="s">
        <v>261</v>
      </c>
    </row>
    <row r="33" spans="1:4" x14ac:dyDescent="0.25">
      <c r="A33" t="s">
        <v>282</v>
      </c>
      <c r="B33">
        <v>1</v>
      </c>
      <c r="C33" t="s">
        <v>10</v>
      </c>
      <c r="D33" t="s">
        <v>283</v>
      </c>
    </row>
    <row r="34" spans="1:4" x14ac:dyDescent="0.25">
      <c r="A34" t="s">
        <v>265</v>
      </c>
      <c r="B34">
        <f>(2*10^-3)/1</f>
        <v>2E-3</v>
      </c>
      <c r="C34" t="s">
        <v>267</v>
      </c>
      <c r="D34" t="s">
        <v>266</v>
      </c>
    </row>
    <row r="36" spans="1:4" x14ac:dyDescent="0.25">
      <c r="A36" s="33" t="s">
        <v>334</v>
      </c>
    </row>
    <row r="37" spans="1:4" x14ac:dyDescent="0.25">
      <c r="A37" t="s">
        <v>335</v>
      </c>
      <c r="B37">
        <f>10*10^-6</f>
        <v>9.9999999999999991E-6</v>
      </c>
      <c r="C37" t="s">
        <v>11</v>
      </c>
      <c r="D37" t="s">
        <v>336</v>
      </c>
    </row>
    <row r="39" spans="1:4" x14ac:dyDescent="0.25">
      <c r="A39" s="33" t="s">
        <v>355</v>
      </c>
    </row>
    <row r="40" spans="1:4" x14ac:dyDescent="0.25">
      <c r="A40" t="s">
        <v>356</v>
      </c>
      <c r="B40">
        <v>1.5</v>
      </c>
      <c r="C40" t="s">
        <v>10</v>
      </c>
      <c r="D40" t="s">
        <v>359</v>
      </c>
    </row>
    <row r="41" spans="1:4" x14ac:dyDescent="0.25">
      <c r="A41" t="s">
        <v>357</v>
      </c>
      <c r="B41">
        <v>1.45</v>
      </c>
      <c r="C41" t="s">
        <v>10</v>
      </c>
      <c r="D41" t="s">
        <v>358</v>
      </c>
    </row>
    <row r="42" spans="1:4" x14ac:dyDescent="0.25">
      <c r="A42" t="s">
        <v>362</v>
      </c>
      <c r="B42">
        <f>5*10^-6</f>
        <v>4.9999999999999996E-6</v>
      </c>
      <c r="C42" t="s">
        <v>11</v>
      </c>
      <c r="D42" t="s">
        <v>363</v>
      </c>
    </row>
    <row r="44" spans="1:4" x14ac:dyDescent="0.25">
      <c r="A44" s="33" t="s">
        <v>420</v>
      </c>
    </row>
    <row r="45" spans="1:4" x14ac:dyDescent="0.25">
      <c r="A45" t="s">
        <v>421</v>
      </c>
      <c r="B45">
        <v>6.75</v>
      </c>
      <c r="C45" t="s">
        <v>10</v>
      </c>
      <c r="D45" t="s">
        <v>422</v>
      </c>
    </row>
    <row r="47" spans="1:4" x14ac:dyDescent="0.25">
      <c r="A47" s="33" t="s">
        <v>439</v>
      </c>
    </row>
    <row r="48" spans="1:4" x14ac:dyDescent="0.25">
      <c r="A48" t="s">
        <v>440</v>
      </c>
      <c r="B48">
        <f>450*(10^-6)</f>
        <v>4.4999999999999999E-4</v>
      </c>
      <c r="C48" t="s">
        <v>11</v>
      </c>
      <c r="D48" t="s">
        <v>441</v>
      </c>
    </row>
    <row r="50" spans="1:4" x14ac:dyDescent="0.25">
      <c r="A50" t="s">
        <v>481</v>
      </c>
    </row>
    <row r="51" spans="1:4" x14ac:dyDescent="0.25">
      <c r="A51" t="s">
        <v>482</v>
      </c>
      <c r="B51">
        <v>1.5</v>
      </c>
      <c r="C51" t="s">
        <v>10</v>
      </c>
      <c r="D51" t="s">
        <v>483</v>
      </c>
    </row>
    <row r="52" spans="1:4" x14ac:dyDescent="0.25">
      <c r="A52" t="s">
        <v>485</v>
      </c>
      <c r="B52">
        <v>45</v>
      </c>
      <c r="C52" t="s">
        <v>10</v>
      </c>
      <c r="D52" t="s">
        <v>484</v>
      </c>
    </row>
    <row r="53" spans="1:4" x14ac:dyDescent="0.25">
      <c r="A53" t="s">
        <v>580</v>
      </c>
      <c r="B53">
        <v>60</v>
      </c>
      <c r="C53" t="s">
        <v>10</v>
      </c>
      <c r="D53" t="s">
        <v>581</v>
      </c>
    </row>
  </sheetData>
  <mergeCells count="2">
    <mergeCell ref="A1:I1"/>
    <mergeCell ref="E5:H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B3"/>
  <sheetViews>
    <sheetView topLeftCell="B1" zoomScale="70" zoomScaleNormal="70" workbookViewId="0">
      <selection activeCell="E3" sqref="E3"/>
    </sheetView>
  </sheetViews>
  <sheetFormatPr defaultRowHeight="15" x14ac:dyDescent="0.25"/>
  <cols>
    <col min="3" max="3" width="144.7109375" customWidth="1"/>
  </cols>
  <sheetData>
    <row r="2" spans="2:2" x14ac:dyDescent="0.25">
      <c r="B2" t="str">
        <f>"Eff_vs_IOUT"</f>
        <v>Eff_vs_IOUT</v>
      </c>
    </row>
    <row r="3" spans="2:2" ht="379.9" customHeight="1"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4"/>
  <sheetViews>
    <sheetView workbookViewId="0">
      <selection activeCell="A2" sqref="A2"/>
    </sheetView>
  </sheetViews>
  <sheetFormatPr defaultRowHeight="15" x14ac:dyDescent="0.25"/>
  <cols>
    <col min="2" max="2" width="76.140625" customWidth="1"/>
  </cols>
  <sheetData>
    <row r="1" spans="1:1" x14ac:dyDescent="0.25">
      <c r="A1" t="str">
        <f>IF('Design Converter'!H7&gt;=3,"SCH_1","SCH_2")</f>
        <v>SCH_1</v>
      </c>
    </row>
    <row r="2" spans="1:1" ht="267.60000000000002" customHeight="1" x14ac:dyDescent="0.25"/>
    <row r="4" spans="1:1" ht="267.60000000000002" customHeight="1" x14ac:dyDescent="0.2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D11"/>
  <sheetViews>
    <sheetView workbookViewId="0">
      <selection activeCell="D20" sqref="D20"/>
    </sheetView>
  </sheetViews>
  <sheetFormatPr defaultRowHeight="15" x14ac:dyDescent="0.25"/>
  <sheetData>
    <row r="2" spans="1:4" x14ac:dyDescent="0.25">
      <c r="A2" t="s">
        <v>458</v>
      </c>
    </row>
    <row r="3" spans="1:4" x14ac:dyDescent="0.25">
      <c r="B3" s="47">
        <f>VIN_min</f>
        <v>21.6</v>
      </c>
    </row>
    <row r="4" spans="1:4" x14ac:dyDescent="0.25">
      <c r="B4" s="221">
        <f>VIN_nom</f>
        <v>24</v>
      </c>
      <c r="D4">
        <v>2.5</v>
      </c>
    </row>
    <row r="5" spans="1:4" x14ac:dyDescent="0.25">
      <c r="B5" s="222">
        <f>VIN_max</f>
        <v>26.4</v>
      </c>
    </row>
    <row r="8" spans="1:4" x14ac:dyDescent="0.25">
      <c r="A8" t="s">
        <v>552</v>
      </c>
    </row>
    <row r="9" spans="1:4" x14ac:dyDescent="0.25">
      <c r="B9" s="47" t="s">
        <v>495</v>
      </c>
    </row>
    <row r="10" spans="1:4" x14ac:dyDescent="0.25">
      <c r="B10" s="221" t="s">
        <v>496</v>
      </c>
    </row>
    <row r="11" spans="1:4" x14ac:dyDescent="0.25">
      <c r="B11" s="222"/>
    </row>
  </sheetData>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DCCB-1154-4E1B-AC0A-91A88D9D073F}">
  <sheetPr codeName="Sheet9"/>
  <dimension ref="A1:AM47"/>
  <sheetViews>
    <sheetView showGridLines="0" showRowColHeaders="0" zoomScaleNormal="100" workbookViewId="0">
      <selection activeCell="B5" sqref="B5"/>
    </sheetView>
  </sheetViews>
  <sheetFormatPr defaultColWidth="9.140625" defaultRowHeight="14.25" x14ac:dyDescent="0.2"/>
  <cols>
    <col min="1" max="1" width="25.7109375" style="150" bestFit="1" customWidth="1"/>
    <col min="2" max="2" width="56.5703125" style="151" customWidth="1"/>
    <col min="3" max="11" width="9.140625" style="144"/>
    <col min="12" max="12" width="20.42578125" style="144" customWidth="1"/>
    <col min="13" max="16384" width="9.140625" style="144"/>
  </cols>
  <sheetData>
    <row r="1" spans="1:12" x14ac:dyDescent="0.2">
      <c r="A1" s="246"/>
      <c r="B1" s="246"/>
      <c r="C1" s="246"/>
      <c r="D1" s="246"/>
      <c r="E1" s="246"/>
      <c r="F1" s="246"/>
      <c r="G1" s="246"/>
      <c r="H1" s="246"/>
      <c r="I1" s="246"/>
      <c r="J1" s="246"/>
      <c r="K1" s="246"/>
      <c r="L1" s="246"/>
    </row>
    <row r="2" spans="1:12" x14ac:dyDescent="0.2">
      <c r="A2" s="246"/>
      <c r="B2" s="246"/>
      <c r="C2" s="246"/>
      <c r="D2" s="246"/>
      <c r="E2" s="246"/>
      <c r="F2" s="246"/>
      <c r="G2" s="246"/>
      <c r="H2" s="246"/>
      <c r="I2" s="246"/>
      <c r="J2" s="246"/>
      <c r="K2" s="246"/>
      <c r="L2" s="246"/>
    </row>
    <row r="3" spans="1:12" x14ac:dyDescent="0.2">
      <c r="A3" s="246"/>
      <c r="B3" s="246"/>
      <c r="C3" s="246"/>
      <c r="D3" s="246"/>
      <c r="E3" s="246"/>
      <c r="F3" s="246"/>
      <c r="G3" s="246"/>
      <c r="H3" s="246"/>
      <c r="I3" s="246"/>
      <c r="J3" s="246"/>
      <c r="K3" s="246"/>
      <c r="L3" s="246"/>
    </row>
    <row r="4" spans="1:12" ht="12.75" customHeight="1" x14ac:dyDescent="0.2">
      <c r="A4" s="247"/>
      <c r="B4" s="247"/>
      <c r="C4" s="247"/>
      <c r="D4" s="247"/>
      <c r="E4" s="247"/>
      <c r="F4" s="247"/>
      <c r="G4" s="247"/>
      <c r="H4" s="247"/>
      <c r="I4" s="247"/>
      <c r="J4" s="247"/>
      <c r="K4" s="247"/>
      <c r="L4" s="247"/>
    </row>
    <row r="5" spans="1:12" x14ac:dyDescent="0.2">
      <c r="A5" s="145" t="s">
        <v>523</v>
      </c>
      <c r="B5" s="157" t="s">
        <v>575</v>
      </c>
      <c r="C5" s="147"/>
      <c r="D5" s="147"/>
      <c r="E5" s="147"/>
      <c r="F5" s="147"/>
      <c r="G5" s="147"/>
      <c r="H5" s="147"/>
      <c r="I5" s="147"/>
      <c r="J5" s="147"/>
      <c r="K5" s="148"/>
      <c r="L5" s="149"/>
    </row>
    <row r="6" spans="1:12" x14ac:dyDescent="0.2">
      <c r="A6" s="145"/>
      <c r="B6" s="146"/>
      <c r="C6" s="147"/>
      <c r="D6" s="147"/>
      <c r="E6" s="147"/>
      <c r="F6" s="147"/>
      <c r="G6" s="147"/>
      <c r="H6" s="147"/>
      <c r="I6" s="147"/>
      <c r="J6" s="149"/>
      <c r="K6" s="149"/>
      <c r="L6" s="149"/>
    </row>
    <row r="35" spans="1:39" x14ac:dyDescent="0.2">
      <c r="A35" s="152" t="s">
        <v>525</v>
      </c>
      <c r="B35" s="153"/>
      <c r="C35" s="147"/>
      <c r="D35" s="147"/>
      <c r="E35" s="147"/>
      <c r="F35" s="147"/>
      <c r="G35" s="147"/>
      <c r="H35" s="147"/>
      <c r="I35" s="147"/>
      <c r="J35" s="147"/>
      <c r="K35" s="147"/>
    </row>
    <row r="36" spans="1:39" x14ac:dyDescent="0.2">
      <c r="A36" s="154" t="s">
        <v>526</v>
      </c>
      <c r="B36" s="248" t="s">
        <v>527</v>
      </c>
      <c r="C36" s="248"/>
      <c r="D36" s="248"/>
      <c r="E36" s="248"/>
      <c r="F36" s="248"/>
      <c r="G36" s="248"/>
      <c r="H36" s="248"/>
      <c r="I36" s="248"/>
      <c r="J36" s="248"/>
      <c r="K36" s="248"/>
    </row>
    <row r="37" spans="1:39" x14ac:dyDescent="0.2">
      <c r="A37" s="152" t="s">
        <v>524</v>
      </c>
      <c r="B37" s="249" t="s">
        <v>528</v>
      </c>
      <c r="C37" s="249"/>
      <c r="D37" s="249"/>
      <c r="E37" s="249"/>
      <c r="F37" s="249"/>
      <c r="G37" s="249"/>
      <c r="H37" s="249"/>
      <c r="I37" s="249"/>
      <c r="J37" s="249"/>
      <c r="K37" s="249"/>
    </row>
    <row r="38" spans="1:39" ht="14.25" customHeight="1" x14ac:dyDescent="0.2">
      <c r="A38" s="156" t="s">
        <v>531</v>
      </c>
      <c r="B38" s="250" t="s">
        <v>532</v>
      </c>
      <c r="C38" s="250"/>
      <c r="D38" s="250"/>
      <c r="E38" s="250"/>
      <c r="F38" s="250"/>
      <c r="G38" s="250"/>
      <c r="H38" s="250"/>
      <c r="I38" s="250"/>
      <c r="J38" s="250"/>
      <c r="K38" s="250"/>
    </row>
    <row r="39" spans="1:39" ht="14.25" customHeight="1" x14ac:dyDescent="0.2">
      <c r="A39" s="156" t="s">
        <v>575</v>
      </c>
      <c r="B39" s="226" t="s">
        <v>576</v>
      </c>
      <c r="C39" s="226"/>
      <c r="D39" s="226"/>
      <c r="E39" s="226"/>
      <c r="F39" s="226"/>
      <c r="G39" s="226"/>
      <c r="H39" s="226"/>
      <c r="I39" s="226"/>
      <c r="J39" s="226"/>
      <c r="K39" s="226"/>
    </row>
    <row r="40" spans="1:39" ht="14.25" customHeight="1" x14ac:dyDescent="0.2">
      <c r="A40" s="156"/>
      <c r="B40" s="226"/>
      <c r="C40" s="226"/>
      <c r="D40" s="226"/>
      <c r="E40" s="226"/>
      <c r="F40" s="226"/>
      <c r="G40" s="226"/>
      <c r="H40" s="226"/>
      <c r="I40" s="226"/>
      <c r="J40" s="226"/>
      <c r="K40" s="226"/>
    </row>
    <row r="41" spans="1:39" ht="14.25" customHeight="1" x14ac:dyDescent="0.2">
      <c r="A41" s="156"/>
      <c r="B41" s="226"/>
      <c r="C41" s="226"/>
      <c r="D41" s="226"/>
      <c r="E41" s="226"/>
      <c r="F41" s="226"/>
      <c r="G41" s="226"/>
      <c r="H41" s="226"/>
      <c r="I41" s="226"/>
      <c r="J41" s="226"/>
      <c r="K41" s="226"/>
    </row>
    <row r="42" spans="1:39" x14ac:dyDescent="0.2">
      <c r="A42" s="156"/>
      <c r="B42" s="226"/>
      <c r="C42" s="226"/>
      <c r="D42" s="226"/>
      <c r="E42" s="226"/>
      <c r="F42" s="226"/>
      <c r="G42" s="226"/>
      <c r="H42" s="226"/>
      <c r="I42" s="226"/>
      <c r="J42" s="226"/>
      <c r="K42" s="226"/>
    </row>
    <row r="43" spans="1:39" x14ac:dyDescent="0.2">
      <c r="A43" s="156"/>
      <c r="B43" s="226"/>
      <c r="C43" s="226"/>
      <c r="D43" s="226"/>
      <c r="E43" s="226"/>
      <c r="F43" s="226"/>
      <c r="G43" s="226"/>
      <c r="H43" s="226"/>
      <c r="I43" s="226"/>
      <c r="J43" s="226"/>
      <c r="K43" s="226"/>
    </row>
    <row r="44" spans="1:39" ht="15" x14ac:dyDescent="0.2">
      <c r="A44" s="156"/>
      <c r="B44" s="226"/>
      <c r="C44" s="226"/>
      <c r="D44" s="226"/>
      <c r="E44" s="226"/>
      <c r="F44" s="226"/>
      <c r="G44" s="226"/>
      <c r="H44" s="226"/>
      <c r="I44" s="226"/>
      <c r="J44" s="226"/>
      <c r="K44" s="226"/>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row>
    <row r="45" spans="1:39" x14ac:dyDescent="0.2">
      <c r="A45" s="156"/>
      <c r="B45" s="226"/>
      <c r="C45" s="226"/>
      <c r="D45" s="226"/>
      <c r="E45" s="226"/>
      <c r="F45" s="226"/>
      <c r="G45" s="226"/>
      <c r="H45" s="226"/>
      <c r="I45" s="226"/>
      <c r="J45" s="226"/>
      <c r="K45" s="226"/>
    </row>
    <row r="46" spans="1:39" x14ac:dyDescent="0.2">
      <c r="A46" s="156"/>
      <c r="B46" s="226"/>
      <c r="C46" s="226"/>
      <c r="D46" s="226"/>
      <c r="E46" s="226"/>
      <c r="F46" s="226"/>
      <c r="G46" s="226"/>
      <c r="H46" s="226"/>
      <c r="I46" s="226"/>
      <c r="J46" s="226"/>
      <c r="K46" s="226"/>
    </row>
    <row r="47" spans="1:39" x14ac:dyDescent="0.2">
      <c r="A47" s="156"/>
      <c r="B47" s="226"/>
    </row>
  </sheetData>
  <sheetProtection algorithmName="SHA-512" hashValue="w01gbvbP5UAcO48uUSPEcM42DLQN7csQvCqJuiQNlT2ekF2fq5jE6wMXzUF2sGQQxMvVP9g7SkV1wWRVLYe5KQ==" saltValue="LTIZtgTeeFd21Qi1VHycQA==" spinCount="100000" sheet="1" objects="1" scenarios="1" selectLockedCells="1" selectUnlockedCells="1"/>
  <mergeCells count="5">
    <mergeCell ref="A1:L3"/>
    <mergeCell ref="A4:L4"/>
    <mergeCell ref="B36:K36"/>
    <mergeCell ref="B37:K37"/>
    <mergeCell ref="B38:K3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131</vt:i4>
      </vt:variant>
    </vt:vector>
  </HeadingPairs>
  <TitlesOfParts>
    <vt:vector size="141" baseType="lpstr">
      <vt:lpstr>Design Converter</vt:lpstr>
      <vt:lpstr>Variable_Management</vt:lpstr>
      <vt:lpstr>Eff_vs_IOUT</vt:lpstr>
      <vt:lpstr>Loop_Modeling</vt:lpstr>
      <vt:lpstr>Constants</vt:lpstr>
      <vt:lpstr>Plot_Management_Eff</vt:lpstr>
      <vt:lpstr>Plot_Management_Sch</vt:lpstr>
      <vt:lpstr>Lists</vt:lpstr>
      <vt:lpstr>Licenses</vt:lpstr>
      <vt:lpstr>Sheet1</vt:lpstr>
      <vt:lpstr>Acs</vt:lpstr>
      <vt:lpstr>Adc</vt:lpstr>
      <vt:lpstr>Adc_ea</vt:lpstr>
      <vt:lpstr>ADC_VINmin</vt:lpstr>
      <vt:lpstr>CCOMP</vt:lpstr>
      <vt:lpstr>CComp_calc</vt:lpstr>
      <vt:lpstr>CHF</vt:lpstr>
      <vt:lpstr>Comp_calc</vt:lpstr>
      <vt:lpstr>Cout</vt:lpstr>
      <vt:lpstr>Cout_min</vt:lpstr>
      <vt:lpstr>D_limit_max</vt:lpstr>
      <vt:lpstr>D_limit_min</vt:lpstr>
      <vt:lpstr>D_limit_nom</vt:lpstr>
      <vt:lpstr>Dc_CCM_VIN_max</vt:lpstr>
      <vt:lpstr>Dc_CCM_VIN_min</vt:lpstr>
      <vt:lpstr>Dc_CCM_VIN_nom</vt:lpstr>
      <vt:lpstr>Dc_DCM_VIN_nom</vt:lpstr>
      <vt:lpstr>Dc_max_IC</vt:lpstr>
      <vt:lpstr>Dc_max_ideal</vt:lpstr>
      <vt:lpstr>Dc_Mode</vt:lpstr>
      <vt:lpstr>Dc_Mode_Loop</vt:lpstr>
      <vt:lpstr>Dc_rip_max</vt:lpstr>
      <vt:lpstr>Dc_VIN_max</vt:lpstr>
      <vt:lpstr>Dc_VIN_min</vt:lpstr>
      <vt:lpstr>Dc_VIN_nom</vt:lpstr>
      <vt:lpstr>EFF_est</vt:lpstr>
      <vt:lpstr>Eff_vs_IOUT</vt:lpstr>
      <vt:lpstr>fcross</vt:lpstr>
      <vt:lpstr>fcross_est</vt:lpstr>
      <vt:lpstr>fp_ea_est</vt:lpstr>
      <vt:lpstr>Fsw</vt:lpstr>
      <vt:lpstr>fz_ea_est</vt:lpstr>
      <vt:lpstr>fz_rhp</vt:lpstr>
      <vt:lpstr>Gcomp</vt:lpstr>
      <vt:lpstr>Gea_mid_calc</vt:lpstr>
      <vt:lpstr>gfs</vt:lpstr>
      <vt:lpstr>gm_ea</vt:lpstr>
      <vt:lpstr>Gplant_fc_dB</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Ipk_margin</vt:lpstr>
      <vt:lpstr>Ipk_selected</vt:lpstr>
      <vt:lpstr>IQ</vt:lpstr>
      <vt:lpstr>IRMS_COUT</vt:lpstr>
      <vt:lpstr>Isl</vt:lpstr>
      <vt:lpstr>Iss</vt:lpstr>
      <vt:lpstr>Kslope</vt:lpstr>
      <vt:lpstr>L_DCM</vt:lpstr>
      <vt:lpstr>Lm</vt:lpstr>
      <vt:lpstr>Lopt</vt:lpstr>
      <vt:lpstr>Lopt_2</vt:lpstr>
      <vt:lpstr>POUT</vt:lpstr>
      <vt:lpstr>'Design Converter'!Print_Area</vt:lpstr>
      <vt:lpstr>Q</vt:lpstr>
      <vt:lpstr>Q_VINmin</vt:lpstr>
      <vt:lpstr>Qg_tot</vt:lpstr>
      <vt:lpstr>Qgd</vt:lpstr>
      <vt:lpstr>Qgs</vt:lpstr>
      <vt:lpstr>Qrr</vt:lpstr>
      <vt:lpstr>R_cs</vt:lpstr>
      <vt:lpstr>R_sl</vt:lpstr>
      <vt:lpstr>RCOMP</vt:lpstr>
      <vt:lpstr>Rcomp_calc</vt:lpstr>
      <vt:lpstr>Rcs_max</vt:lpstr>
      <vt:lpstr>Rcs_w_sl</vt:lpstr>
      <vt:lpstr>Rcs_wo_sl</vt:lpstr>
      <vt:lpstr>Rdcr</vt:lpstr>
      <vt:lpstr>RDS_on</vt:lpstr>
      <vt:lpstr>Resr</vt:lpstr>
      <vt:lpstr>RFBB</vt:lpstr>
      <vt:lpstr>RFBB_calc</vt:lpstr>
      <vt:lpstr>RFBT</vt:lpstr>
      <vt:lpstr>Rgate</vt:lpstr>
      <vt:lpstr>ROUT</vt:lpstr>
      <vt:lpstr>Rsl_int</vt:lpstr>
      <vt:lpstr>Rsl_max</vt:lpstr>
      <vt:lpstr>RT</vt:lpstr>
      <vt:lpstr>Ruvlo_bottom_calc</vt:lpstr>
      <vt:lpstr>Ruvlo_top</vt:lpstr>
      <vt:lpstr>Ruvlo_top_calc</vt:lpstr>
      <vt:lpstr>SCH_1</vt:lpstr>
      <vt:lpstr>SCH_2</vt:lpstr>
      <vt:lpstr>Se_VINmin</vt:lpstr>
      <vt:lpstr>Sn_VINmin</vt:lpstr>
      <vt:lpstr>tf_sw</vt:lpstr>
      <vt:lpstr>tr_sw</vt:lpstr>
      <vt:lpstr>tss</vt:lpstr>
      <vt:lpstr>UV_fall</vt:lpstr>
      <vt:lpstr>UV_I_hyst</vt:lpstr>
      <vt:lpstr>UV_rise</vt:lpstr>
      <vt:lpstr>Vcc</vt:lpstr>
      <vt:lpstr>Vcl</vt:lpstr>
      <vt:lpstr>Vd_rect</vt:lpstr>
      <vt:lpstr>VIN_33</vt:lpstr>
      <vt:lpstr>VIN_max</vt:lpstr>
      <vt:lpstr>VIN_min</vt:lpstr>
      <vt:lpstr>VIN_nom</vt:lpstr>
      <vt:lpstr>VIN_op_max</vt:lpstr>
      <vt:lpstr>VIN_op_max_56</vt:lpstr>
      <vt:lpstr>VIN_op_min</vt:lpstr>
      <vt:lpstr>VIN_var</vt:lpstr>
      <vt:lpstr>VOUT</vt:lpstr>
      <vt:lpstr>Vout_rip_sel</vt:lpstr>
      <vt:lpstr>Vref</vt:lpstr>
      <vt:lpstr>Vth</vt:lpstr>
      <vt:lpstr>Vuvlo_off</vt:lpstr>
      <vt:lpstr>Vuvlo_on</vt:lpstr>
      <vt:lpstr>wp_hf</vt:lpstr>
      <vt:lpstr>wp_lf</vt:lpstr>
      <vt:lpstr>wp_lf_VINmin</vt:lpstr>
      <vt:lpstr>wp0_ea</vt:lpstr>
      <vt:lpstr>wp1_ea</vt:lpstr>
      <vt:lpstr>wsl</vt:lpstr>
      <vt:lpstr>wsl_VINmin</vt:lpstr>
      <vt:lpstr>wz_ea</vt:lpstr>
      <vt:lpstr>wz_esr</vt:lpstr>
      <vt:lpstr>wz_esr_VINmin</vt:lpstr>
      <vt:lpstr>wz_rhp</vt:lpstr>
      <vt:lpstr>wz_RHP_VINmin</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Ashot Avagyan</cp:lastModifiedBy>
  <cp:lastPrinted>2018-08-09T07:13:51Z</cp:lastPrinted>
  <dcterms:created xsi:type="dcterms:W3CDTF">2018-06-26T09:13:29Z</dcterms:created>
  <dcterms:modified xsi:type="dcterms:W3CDTF">2024-01-29T17:18:30Z</dcterms:modified>
</cp:coreProperties>
</file>